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Presentation" sheetId="1" r:id="rId1"/>
  </sheets>
  <definedNames>
    <definedName name="_xlnm.Print_Area" localSheetId="0">'Presentation'!$B$1:$N$66</definedName>
    <definedName name="_xlnm.Print_Titles" localSheetId="0">'Presentation'!$1:$2</definedName>
  </definedNames>
  <calcPr fullCalcOnLoad="1"/>
</workbook>
</file>

<file path=xl/sharedStrings.xml><?xml version="1.0" encoding="utf-8"?>
<sst xmlns="http://schemas.openxmlformats.org/spreadsheetml/2006/main" count="174" uniqueCount="139">
  <si>
    <t>JOHORE TENGGARA OIL PALM BERHAD</t>
  </si>
  <si>
    <t>Co. No. : 17867-T</t>
  </si>
  <si>
    <t xml:space="preserve">                                         (Incorporated in Malaysia)</t>
  </si>
  <si>
    <t>3.</t>
  </si>
  <si>
    <t>(a)</t>
  </si>
  <si>
    <t>RM'000</t>
  </si>
  <si>
    <t>1.</t>
  </si>
  <si>
    <t>(b)</t>
  </si>
  <si>
    <t>2.</t>
  </si>
  <si>
    <t>(c)</t>
  </si>
  <si>
    <t>(d)</t>
  </si>
  <si>
    <t>Taxation</t>
  </si>
  <si>
    <t>(e)</t>
  </si>
  <si>
    <t>(i)</t>
  </si>
  <si>
    <t>(ii)</t>
  </si>
  <si>
    <t>Investment  income</t>
  </si>
  <si>
    <t>Other income</t>
  </si>
  <si>
    <t>extraordinary items</t>
  </si>
  <si>
    <t>Exceptional items</t>
  </si>
  <si>
    <t>Depreciation and amortisation</t>
  </si>
  <si>
    <t>Nil</t>
  </si>
  <si>
    <t>(f)</t>
  </si>
  <si>
    <t>(g)</t>
  </si>
  <si>
    <t>(h)</t>
  </si>
  <si>
    <t>Less minority interests</t>
  </si>
  <si>
    <t>(j)</t>
  </si>
  <si>
    <t>(k)</t>
  </si>
  <si>
    <t>(iii)</t>
  </si>
  <si>
    <t>(l)</t>
  </si>
  <si>
    <t>to members of the company</t>
  </si>
  <si>
    <t>Earnings per share based on</t>
  </si>
  <si>
    <t>provision for preference</t>
  </si>
  <si>
    <t>dividends, if any:-</t>
  </si>
  <si>
    <t xml:space="preserve">Fully diluted ( based on </t>
  </si>
  <si>
    <t xml:space="preserve">Basic (based on </t>
  </si>
  <si>
    <t xml:space="preserve">160,000,000 ordinary </t>
  </si>
  <si>
    <t>shares) (sen)</t>
  </si>
  <si>
    <t>INDIVIDUAL QUARTER</t>
  </si>
  <si>
    <t>CUMULATIVE QUARTER</t>
  </si>
  <si>
    <t xml:space="preserve">CURRENT </t>
  </si>
  <si>
    <t>YEAR</t>
  </si>
  <si>
    <t>QUARTER</t>
  </si>
  <si>
    <t xml:space="preserve">PRECEDING </t>
  </si>
  <si>
    <t>CORRESPONDING</t>
  </si>
  <si>
    <t>PERIOD</t>
  </si>
  <si>
    <t>TO DATE</t>
  </si>
  <si>
    <t xml:space="preserve">CONSOLIDATED BALANCE SHEET </t>
  </si>
  <si>
    <t>Investment  In Associated Company</t>
  </si>
  <si>
    <t>CURRENT ASSETS</t>
  </si>
  <si>
    <t>Stocks</t>
  </si>
  <si>
    <t>Trade debtors</t>
  </si>
  <si>
    <t>Cash and Bank balances</t>
  </si>
  <si>
    <t>CURRENT LIABILITIES</t>
  </si>
  <si>
    <t>Trade creditors</t>
  </si>
  <si>
    <t>Proposed dividend</t>
  </si>
  <si>
    <t>Share Capital</t>
  </si>
  <si>
    <t>Revenue Reserve</t>
  </si>
  <si>
    <t>Revaluation surplus</t>
  </si>
  <si>
    <t>Share Premium</t>
  </si>
  <si>
    <t>Long Term Borrowings</t>
  </si>
  <si>
    <t>Deferred taxation</t>
  </si>
  <si>
    <t xml:space="preserve"> </t>
  </si>
  <si>
    <t>Reserves</t>
  </si>
  <si>
    <t>Shareholders' Funds</t>
  </si>
  <si>
    <t>Minority Interests</t>
  </si>
  <si>
    <t>Other Debtors, Deposits  and Prepayments</t>
  </si>
  <si>
    <t>Reserve on consolidation</t>
  </si>
  <si>
    <t xml:space="preserve">AS AT  </t>
  </si>
  <si>
    <t xml:space="preserve"> PRECEDING</t>
  </si>
  <si>
    <t xml:space="preserve">FINANCIAL </t>
  </si>
  <si>
    <t xml:space="preserve">YEAR END </t>
  </si>
  <si>
    <t xml:space="preserve">END OF  </t>
  </si>
  <si>
    <t>CURRENT</t>
  </si>
  <si>
    <t>Net tangible assets per share ( RM )</t>
  </si>
  <si>
    <t>160,000,000 ordinary</t>
  </si>
  <si>
    <t xml:space="preserve">CONSOLIDATED INCOME STATEMENT </t>
  </si>
  <si>
    <t>31/12/2000</t>
  </si>
  <si>
    <t>Depn</t>
  </si>
  <si>
    <t>Int on loan</t>
  </si>
  <si>
    <t>JTOP</t>
  </si>
  <si>
    <t>LPT</t>
  </si>
  <si>
    <t>PJT</t>
  </si>
  <si>
    <t>ASB</t>
  </si>
  <si>
    <t>ALSB</t>
  </si>
  <si>
    <t>BPSB</t>
  </si>
  <si>
    <t>IDSB</t>
  </si>
  <si>
    <t>TSSB</t>
  </si>
  <si>
    <t>SSSB</t>
  </si>
  <si>
    <t>UAPSB</t>
  </si>
  <si>
    <t xml:space="preserve">  </t>
  </si>
  <si>
    <t>N/A</t>
  </si>
  <si>
    <t>Other Investments</t>
  </si>
  <si>
    <t>Other creditors and accruals</t>
  </si>
  <si>
    <t>Bank overdraft (secured)</t>
  </si>
  <si>
    <t>Amount due from associated companies</t>
  </si>
  <si>
    <t>Provision for Taxation</t>
  </si>
  <si>
    <t>The    Directors   of    Johore  Tenggara    Oil    Palm    Berhad   are    pleased   to   announce  the  unaudited</t>
  </si>
  <si>
    <t>NET CURRENT LIABILITIES</t>
  </si>
  <si>
    <t>Goodwill On Consolidation</t>
  </si>
  <si>
    <t>30/09/2001</t>
  </si>
  <si>
    <t>30/09/2000</t>
  </si>
  <si>
    <t>Provision for RPGT-Khamil &amp; Co</t>
  </si>
  <si>
    <t>consolidated results  for  the 3rd quarter ended  30th September, 2001</t>
  </si>
  <si>
    <t>Revenue</t>
  </si>
  <si>
    <t>Finance Cost</t>
  </si>
  <si>
    <t>Income tax</t>
  </si>
  <si>
    <t>(m)</t>
  </si>
  <si>
    <t xml:space="preserve">2 (m) above after deducting any </t>
  </si>
  <si>
    <t xml:space="preserve">cost,         depreciation     and </t>
  </si>
  <si>
    <t xml:space="preserve"> income tax,   minority interests</t>
  </si>
  <si>
    <t>and   extraordinary    items</t>
  </si>
  <si>
    <t>of     the        company</t>
  </si>
  <si>
    <t>Net profit/(loss) from ordinary</t>
  </si>
  <si>
    <t>activities    attributable      to</t>
  </si>
  <si>
    <t xml:space="preserve"> members   of  the  company</t>
  </si>
  <si>
    <t>Extraordinary         items</t>
  </si>
  <si>
    <t>Less   minority   interests</t>
  </si>
  <si>
    <t>Extraordinary          items</t>
  </si>
  <si>
    <t>attributable  to  members</t>
  </si>
  <si>
    <t xml:space="preserve">tax,       minority       interests </t>
  </si>
  <si>
    <t>and     extraordinary     items</t>
  </si>
  <si>
    <t>Share      of      profits      of</t>
  </si>
  <si>
    <t>associated     company</t>
  </si>
  <si>
    <t xml:space="preserve">minority     interests     and </t>
  </si>
  <si>
    <t>amortisation,  exceptional items,</t>
  </si>
  <si>
    <t xml:space="preserve"> tax  before deducting</t>
  </si>
  <si>
    <t xml:space="preserve">minority  interests </t>
  </si>
  <si>
    <t>Bank borrowings</t>
  </si>
  <si>
    <t xml:space="preserve">Hire purchase </t>
  </si>
  <si>
    <t>Other long term liabilities</t>
  </si>
  <si>
    <t>(Loss) / Profit before finance</t>
  </si>
  <si>
    <t>Profit   before   income</t>
  </si>
  <si>
    <t>Profit  before income tax,</t>
  </si>
  <si>
    <t>Profit  after income</t>
  </si>
  <si>
    <t>Property,plant and equipment</t>
  </si>
  <si>
    <t>Pre-acquisition loss</t>
  </si>
  <si>
    <t xml:space="preserve">Net profit attributable </t>
  </si>
  <si>
    <t>30/06/2001</t>
  </si>
  <si>
    <t>announced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</si>
</sst>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0.000"/>
    <numFmt numFmtId="184" formatCode="0.00&quot; sen&quot;"/>
    <numFmt numFmtId="185" formatCode="0.0&quot; sen&quot;"/>
    <numFmt numFmtId="186" formatCode="0.00000"/>
    <numFmt numFmtId="187" formatCode="0.0000"/>
    <numFmt numFmtId="188" formatCode="_(* #,##0.000_);_(* \(#,##0.000\);_(* &quot;-&quot;???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MT"/>
      <family val="2"/>
    </font>
    <font>
      <sz val="8"/>
      <name val="Arial MT"/>
      <family val="2"/>
    </font>
    <font>
      <sz val="9"/>
      <name val="Arial MT"/>
      <family val="2"/>
    </font>
    <font>
      <sz val="10"/>
      <name val="Arial MT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MT"/>
      <family val="2"/>
    </font>
    <font>
      <i/>
      <sz val="9"/>
      <name val="Arial MT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 MT"/>
      <family val="0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u val="singleAccounting"/>
      <sz val="9"/>
      <name val="Arial MT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81" fontId="5" fillId="0" borderId="0" xfId="15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181" fontId="5" fillId="0" borderId="0" xfId="15" applyNumberFormat="1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81" fontId="6" fillId="0" borderId="0" xfId="15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181" fontId="5" fillId="0" borderId="0" xfId="15" applyNumberFormat="1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 horizontal="left"/>
    </xf>
    <xf numFmtId="9" fontId="5" fillId="0" borderId="0" xfId="21" applyFont="1" applyFill="1" applyBorder="1" applyAlignment="1">
      <alignment horizontal="center"/>
    </xf>
    <xf numFmtId="181" fontId="5" fillId="0" borderId="0" xfId="15" applyNumberFormat="1" applyFont="1" applyFill="1" applyAlignment="1">
      <alignment/>
    </xf>
    <xf numFmtId="181" fontId="4" fillId="0" borderId="0" xfId="15" applyNumberFormat="1" applyFont="1" applyFill="1" applyAlignment="1">
      <alignment horizontal="center"/>
    </xf>
    <xf numFmtId="181" fontId="5" fillId="0" borderId="0" xfId="15" applyNumberFormat="1" applyFont="1" applyFill="1" applyBorder="1" applyAlignment="1">
      <alignment/>
    </xf>
    <xf numFmtId="43" fontId="5" fillId="0" borderId="0" xfId="15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15" applyNumberFormat="1" applyFont="1" applyFill="1" applyAlignment="1">
      <alignment horizontal="left"/>
    </xf>
    <xf numFmtId="43" fontId="5" fillId="0" borderId="0" xfId="15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81" fontId="5" fillId="0" borderId="0" xfId="15" applyNumberFormat="1" applyFont="1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1" fontId="7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5" applyNumberFormat="1" applyFont="1" applyFill="1" applyBorder="1" applyAlignment="1" quotePrefix="1">
      <alignment horizontal="center"/>
    </xf>
    <xf numFmtId="181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3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 horizontal="left"/>
    </xf>
    <xf numFmtId="181" fontId="6" fillId="0" borderId="0" xfId="15" applyNumberFormat="1" applyFont="1" applyFill="1" applyAlignment="1">
      <alignment horizontal="justify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181" fontId="6" fillId="0" borderId="0" xfId="15" applyNumberFormat="1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181" fontId="12" fillId="0" borderId="0" xfId="15" applyNumberFormat="1" applyFont="1" applyFill="1" applyAlignment="1">
      <alignment horizontal="left" indent="2"/>
    </xf>
    <xf numFmtId="181" fontId="6" fillId="0" borderId="0" xfId="15" applyNumberFormat="1" applyFont="1" applyFill="1" applyAlignment="1">
      <alignment/>
    </xf>
    <xf numFmtId="181" fontId="12" fillId="0" borderId="0" xfId="15" applyNumberFormat="1" applyFont="1" applyFill="1" applyAlignment="1">
      <alignment horizontal="left" indent="1"/>
    </xf>
    <xf numFmtId="181" fontId="12" fillId="0" borderId="0" xfId="15" applyNumberFormat="1" applyFont="1" applyFill="1" applyAlignment="1">
      <alignment horizontal="left"/>
    </xf>
    <xf numFmtId="181" fontId="12" fillId="0" borderId="0" xfId="15" applyNumberFormat="1" applyFont="1" applyFill="1" applyAlignment="1">
      <alignment horizontal="center"/>
    </xf>
    <xf numFmtId="181" fontId="12" fillId="0" borderId="0" xfId="15" applyNumberFormat="1" applyFont="1" applyFill="1" applyAlignment="1">
      <alignment horizontal="center"/>
    </xf>
    <xf numFmtId="181" fontId="12" fillId="0" borderId="0" xfId="15" applyNumberFormat="1" applyFont="1" applyFill="1" applyAlignment="1">
      <alignment horizontal="centerContinuous"/>
    </xf>
    <xf numFmtId="181" fontId="12" fillId="0" borderId="0" xfId="15" applyNumberFormat="1" applyFont="1" applyFill="1" applyAlignment="1">
      <alignment horizontal="centerContinuous"/>
    </xf>
    <xf numFmtId="1" fontId="12" fillId="0" borderId="0" xfId="15" applyNumberFormat="1" applyFont="1" applyFill="1" applyAlignment="1" quotePrefix="1">
      <alignment horizontal="center"/>
    </xf>
    <xf numFmtId="1" fontId="6" fillId="0" borderId="0" xfId="15" applyNumberFormat="1" applyFont="1" applyFill="1" applyAlignment="1">
      <alignment horizontal="center"/>
    </xf>
    <xf numFmtId="1" fontId="12" fillId="0" borderId="0" xfId="15" applyNumberFormat="1" applyFont="1" applyFill="1" applyAlignment="1">
      <alignment horizontal="center"/>
    </xf>
    <xf numFmtId="1" fontId="12" fillId="0" borderId="0" xfId="15" applyNumberFormat="1" applyFont="1" applyFill="1" applyAlignment="1">
      <alignment horizontal="center"/>
    </xf>
    <xf numFmtId="181" fontId="6" fillId="0" borderId="0" xfId="15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 quotePrefix="1">
      <alignment horizontal="right"/>
    </xf>
    <xf numFmtId="181" fontId="6" fillId="0" borderId="1" xfId="15" applyNumberFormat="1" applyFont="1" applyFill="1" applyBorder="1" applyAlignment="1">
      <alignment/>
    </xf>
    <xf numFmtId="181" fontId="6" fillId="0" borderId="1" xfId="15" applyNumberFormat="1" applyFont="1" applyFill="1" applyBorder="1" applyAlignment="1">
      <alignment/>
    </xf>
    <xf numFmtId="181" fontId="6" fillId="0" borderId="0" xfId="15" applyNumberFormat="1" applyFont="1" applyFill="1" applyAlignment="1" quotePrefix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81" fontId="6" fillId="0" borderId="0" xfId="15" applyNumberFormat="1" applyFont="1" applyFill="1" applyBorder="1" applyAlignment="1">
      <alignment/>
    </xf>
    <xf numFmtId="181" fontId="6" fillId="0" borderId="1" xfId="15" applyNumberFormat="1" applyFont="1" applyFill="1" applyBorder="1" applyAlignment="1">
      <alignment horizontal="right"/>
    </xf>
    <xf numFmtId="181" fontId="6" fillId="0" borderId="0" xfId="15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" fontId="6" fillId="0" borderId="0" xfId="0" applyNumberFormat="1" applyFont="1" applyFill="1" applyAlignment="1" quotePrefix="1">
      <alignment horizontal="center"/>
    </xf>
    <xf numFmtId="181" fontId="6" fillId="0" borderId="0" xfId="15" applyNumberFormat="1" applyFont="1" applyFill="1" applyBorder="1" applyAlignment="1">
      <alignment horizontal="right"/>
    </xf>
    <xf numFmtId="181" fontId="6" fillId="0" borderId="0" xfId="15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81" fontId="6" fillId="0" borderId="2" xfId="15" applyNumberFormat="1" applyFont="1" applyFill="1" applyBorder="1" applyAlignment="1">
      <alignment horizontal="center"/>
    </xf>
    <xf numFmtId="0" fontId="6" fillId="0" borderId="0" xfId="0" applyFont="1" applyFill="1" applyAlignment="1" quotePrefix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quotePrefix="1">
      <alignment horizontal="right"/>
    </xf>
    <xf numFmtId="0" fontId="13" fillId="0" borderId="0" xfId="0" applyFont="1" applyFill="1" applyAlignment="1">
      <alignment/>
    </xf>
    <xf numFmtId="181" fontId="15" fillId="0" borderId="0" xfId="15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 horizontal="left" vertical="center" indent="5"/>
    </xf>
    <xf numFmtId="1" fontId="15" fillId="0" borderId="0" xfId="0" applyNumberFormat="1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quotePrefix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4" fontId="15" fillId="0" borderId="0" xfId="0" applyNumberFormat="1" applyFont="1" applyFill="1" applyAlignment="1" quotePrefix="1">
      <alignment horizontal="center"/>
    </xf>
    <xf numFmtId="1" fontId="15" fillId="0" borderId="0" xfId="0" applyNumberFormat="1" applyFont="1" applyFill="1" applyBorder="1" applyAlignment="1" quotePrefix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81" fontId="15" fillId="0" borderId="0" xfId="15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81" fontId="15" fillId="0" borderId="3" xfId="15" applyNumberFormat="1" applyFont="1" applyFill="1" applyBorder="1" applyAlignment="1">
      <alignment/>
    </xf>
    <xf numFmtId="181" fontId="12" fillId="0" borderId="3" xfId="15" applyNumberFormat="1" applyFont="1" applyFill="1" applyBorder="1" applyAlignment="1">
      <alignment/>
    </xf>
    <xf numFmtId="181" fontId="15" fillId="0" borderId="0" xfId="15" applyNumberFormat="1" applyFont="1" applyFill="1" applyAlignment="1">
      <alignment/>
    </xf>
    <xf numFmtId="0" fontId="15" fillId="0" borderId="0" xfId="0" applyFont="1" applyFill="1" applyBorder="1" applyAlignment="1" quotePrefix="1">
      <alignment horizontal="left" wrapText="1"/>
    </xf>
    <xf numFmtId="181" fontId="15" fillId="0" borderId="0" xfId="15" applyNumberFormat="1" applyFont="1" applyFill="1" applyBorder="1" applyAlignment="1">
      <alignment horizontal="left"/>
    </xf>
    <xf numFmtId="181" fontId="15" fillId="0" borderId="4" xfId="15" applyNumberFormat="1" applyFont="1" applyFill="1" applyBorder="1" applyAlignment="1">
      <alignment/>
    </xf>
    <xf numFmtId="181" fontId="15" fillId="0" borderId="4" xfId="0" applyNumberFormat="1" applyFont="1" applyFill="1" applyBorder="1" applyAlignment="1">
      <alignment/>
    </xf>
    <xf numFmtId="181" fontId="14" fillId="0" borderId="0" xfId="0" applyNumberFormat="1" applyFont="1" applyFill="1" applyAlignment="1">
      <alignment/>
    </xf>
    <xf numFmtId="43" fontId="15" fillId="0" borderId="0" xfId="0" applyNumberFormat="1" applyFont="1" applyFill="1" applyAlignment="1">
      <alignment/>
    </xf>
    <xf numFmtId="181" fontId="19" fillId="0" borderId="0" xfId="15" applyNumberFormat="1" applyFont="1" applyFill="1" applyAlignment="1">
      <alignment horizontal="center"/>
    </xf>
    <xf numFmtId="181" fontId="6" fillId="0" borderId="1" xfId="15" applyNumberFormat="1" applyFont="1" applyFill="1" applyBorder="1" applyAlignment="1">
      <alignment horizontal="center"/>
    </xf>
    <xf numFmtId="181" fontId="4" fillId="0" borderId="0" xfId="15" applyNumberFormat="1" applyFont="1" applyFill="1" applyAlignment="1">
      <alignment horizontal="center"/>
    </xf>
    <xf numFmtId="40" fontId="6" fillId="0" borderId="0" xfId="15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>
      <alignment horizontal="center"/>
    </xf>
    <xf numFmtId="40" fontId="15" fillId="0" borderId="0" xfId="15" applyNumberFormat="1" applyFont="1" applyFill="1" applyBorder="1" applyAlignment="1">
      <alignment horizontal="center"/>
    </xf>
    <xf numFmtId="40" fontId="6" fillId="0" borderId="5" xfId="15" applyNumberFormat="1" applyFont="1" applyFill="1" applyBorder="1" applyAlignment="1">
      <alignment horizontal="center"/>
    </xf>
    <xf numFmtId="40" fontId="6" fillId="0" borderId="5" xfId="0" applyNumberFormat="1" applyFont="1" applyFill="1" applyBorder="1" applyAlignment="1">
      <alignment horizontal="center"/>
    </xf>
    <xf numFmtId="40" fontId="6" fillId="0" borderId="5" xfId="15" applyNumberFormat="1" applyFont="1" applyFill="1" applyBorder="1" applyAlignment="1">
      <alignment horizontal="center"/>
    </xf>
    <xf numFmtId="40" fontId="14" fillId="0" borderId="5" xfId="15" applyNumberFormat="1" applyFont="1" applyFill="1" applyBorder="1" applyAlignment="1">
      <alignment horizontal="center"/>
    </xf>
    <xf numFmtId="181" fontId="6" fillId="0" borderId="1" xfId="15" applyNumberFormat="1" applyFont="1" applyFill="1" applyBorder="1" applyAlignment="1">
      <alignment horizontal="right"/>
    </xf>
    <xf numFmtId="181" fontId="6" fillId="0" borderId="0" xfId="15" applyNumberFormat="1" applyFont="1" applyFill="1" applyAlignment="1">
      <alignment horizontal="center" vertical="top"/>
    </xf>
    <xf numFmtId="0" fontId="6" fillId="0" borderId="0" xfId="0" applyFont="1" applyFill="1" applyAlignment="1">
      <alignment horizontal="left" vertical="justify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81" fontId="6" fillId="0" borderId="0" xfId="15" applyNumberFormat="1" applyFont="1" applyFill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5"/>
  <sheetViews>
    <sheetView tabSelected="1" workbookViewId="0" topLeftCell="A5">
      <selection activeCell="AA17" sqref="AA17"/>
    </sheetView>
  </sheetViews>
  <sheetFormatPr defaultColWidth="9.140625" defaultRowHeight="12.75"/>
  <cols>
    <col min="1" max="1" width="2.00390625" style="2" customWidth="1"/>
    <col min="2" max="2" width="3.421875" style="4" customWidth="1"/>
    <col min="3" max="3" width="3.00390625" style="4" customWidth="1"/>
    <col min="4" max="4" width="2.7109375" style="2" customWidth="1"/>
    <col min="5" max="5" width="23.140625" style="9" customWidth="1"/>
    <col min="6" max="6" width="11.28125" style="15" customWidth="1"/>
    <col min="7" max="7" width="12.00390625" style="15" hidden="1" customWidth="1"/>
    <col min="8" max="8" width="1.1484375" style="15" customWidth="1"/>
    <col min="9" max="9" width="13.57421875" style="15" customWidth="1"/>
    <col min="10" max="10" width="2.00390625" style="15" customWidth="1"/>
    <col min="11" max="11" width="9.00390625" style="15" customWidth="1"/>
    <col min="12" max="12" width="1.1484375" style="15" customWidth="1"/>
    <col min="13" max="13" width="14.28125" style="15" customWidth="1"/>
    <col min="14" max="14" width="3.00390625" style="2" customWidth="1"/>
    <col min="15" max="15" width="6.421875" style="2" hidden="1" customWidth="1"/>
    <col min="16" max="16" width="17.7109375" style="2" hidden="1" customWidth="1"/>
    <col min="17" max="17" width="11.140625" style="2" hidden="1" customWidth="1"/>
    <col min="18" max="18" width="0" style="2" hidden="1" customWidth="1"/>
    <col min="19" max="19" width="12.57421875" style="2" hidden="1" customWidth="1"/>
    <col min="20" max="20" width="0" style="2" hidden="1" customWidth="1"/>
    <col min="21" max="21" width="12.00390625" style="2" hidden="1" customWidth="1"/>
    <col min="22" max="23" width="0" style="2" hidden="1" customWidth="1"/>
    <col min="24" max="24" width="9.8515625" style="2" hidden="1" customWidth="1"/>
    <col min="25" max="25" width="0" style="2" hidden="1" customWidth="1"/>
    <col min="26" max="26" width="10.421875" style="2" hidden="1" customWidth="1"/>
    <col min="27" max="27" width="9.140625" style="2" customWidth="1"/>
    <col min="28" max="28" width="27.421875" style="2" customWidth="1"/>
    <col min="29" max="29" width="9.140625" style="2" customWidth="1"/>
    <col min="30" max="30" width="12.28125" style="2" customWidth="1"/>
    <col min="31" max="16384" width="9.140625" style="2" customWidth="1"/>
  </cols>
  <sheetData>
    <row r="1" spans="1:29" ht="19.5" customHeight="1">
      <c r="A1" s="39"/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0.5" customHeight="1">
      <c r="A2" s="39"/>
      <c r="B2" s="132" t="s">
        <v>2</v>
      </c>
      <c r="C2" s="132"/>
      <c r="D2" s="132"/>
      <c r="E2" s="132"/>
      <c r="F2" s="132"/>
      <c r="G2" s="132"/>
      <c r="H2" s="132"/>
      <c r="I2" s="132"/>
      <c r="J2" s="132"/>
      <c r="K2" s="132"/>
      <c r="L2" s="133" t="s">
        <v>1</v>
      </c>
      <c r="M2" s="133"/>
      <c r="N2" s="13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2.5" customHeight="1">
      <c r="A3" s="39"/>
      <c r="B3" s="46"/>
      <c r="C3" s="47"/>
      <c r="D3" s="47"/>
      <c r="E3" s="47"/>
      <c r="F3" s="48"/>
      <c r="G3" s="48"/>
      <c r="H3" s="48"/>
      <c r="I3" s="48"/>
      <c r="J3" s="48"/>
      <c r="K3" s="48"/>
      <c r="L3" s="48"/>
      <c r="M3" s="48"/>
      <c r="N3" s="4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0.5" customHeight="1">
      <c r="A4" s="39"/>
      <c r="B4" s="7" t="s">
        <v>96</v>
      </c>
      <c r="C4" s="47"/>
      <c r="D4" s="47"/>
      <c r="E4" s="47"/>
      <c r="F4" s="48"/>
      <c r="G4" s="48"/>
      <c r="H4" s="48"/>
      <c r="I4" s="48"/>
      <c r="J4" s="48"/>
      <c r="K4" s="48"/>
      <c r="L4" s="48"/>
      <c r="M4" s="48"/>
      <c r="N4" s="47"/>
      <c r="P4" s="3"/>
      <c r="Q4" s="8"/>
      <c r="R4" s="8"/>
      <c r="S4" s="8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0.5" customHeight="1">
      <c r="A5" s="39"/>
      <c r="B5" s="7" t="s">
        <v>102</v>
      </c>
      <c r="C5" s="47"/>
      <c r="D5" s="47"/>
      <c r="E5" s="7"/>
      <c r="F5" s="48"/>
      <c r="G5" s="48"/>
      <c r="H5" s="48"/>
      <c r="I5" s="48"/>
      <c r="J5" s="48"/>
      <c r="K5" s="48"/>
      <c r="L5" s="48"/>
      <c r="M5" s="48"/>
      <c r="N5" s="3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28"/>
      <c r="AB5" s="128"/>
      <c r="AC5" s="128"/>
    </row>
    <row r="6" spans="1:41" s="9" customFormat="1" ht="18.75" customHeight="1">
      <c r="A6" s="7"/>
      <c r="B6" s="7"/>
      <c r="C6" s="7"/>
      <c r="D6" s="7"/>
      <c r="E6" s="7"/>
      <c r="F6" s="10"/>
      <c r="G6" s="10"/>
      <c r="H6" s="10"/>
      <c r="I6" s="10"/>
      <c r="J6" s="10"/>
      <c r="K6" s="10"/>
      <c r="L6" s="10"/>
      <c r="M6" s="10"/>
      <c r="N6" s="7"/>
      <c r="P6" s="11"/>
      <c r="Q6" s="12"/>
      <c r="R6" s="13"/>
      <c r="S6" s="14"/>
      <c r="T6" s="11"/>
      <c r="U6" s="11"/>
      <c r="V6" s="11"/>
      <c r="W6" s="11"/>
      <c r="X6" s="11"/>
      <c r="Y6" s="11"/>
      <c r="Z6" s="11"/>
      <c r="AA6" s="11"/>
      <c r="AB6" s="11"/>
      <c r="AC6" s="11"/>
      <c r="AO6" s="2"/>
    </row>
    <row r="7" spans="1:41" s="9" customFormat="1" ht="10.5" customHeight="1">
      <c r="A7" s="7"/>
      <c r="B7" s="49" t="s">
        <v>75</v>
      </c>
      <c r="C7" s="7"/>
      <c r="D7" s="7"/>
      <c r="E7" s="7"/>
      <c r="F7" s="10"/>
      <c r="G7" s="10"/>
      <c r="H7" s="10"/>
      <c r="I7" s="10"/>
      <c r="J7" s="10"/>
      <c r="K7" s="10"/>
      <c r="L7" s="10"/>
      <c r="M7" s="10"/>
      <c r="N7" s="7"/>
      <c r="P7" s="11"/>
      <c r="Q7" s="12"/>
      <c r="R7" s="13"/>
      <c r="S7" s="14"/>
      <c r="T7" s="11"/>
      <c r="U7" s="11"/>
      <c r="V7" s="11"/>
      <c r="W7" s="11"/>
      <c r="X7" s="11"/>
      <c r="Y7" s="11"/>
      <c r="Z7" s="11"/>
      <c r="AA7" s="11"/>
      <c r="AB7" s="11"/>
      <c r="AC7" s="11"/>
      <c r="AO7" s="2"/>
    </row>
    <row r="8" spans="1:41" s="9" customFormat="1" ht="10.5" customHeight="1">
      <c r="A8" s="7"/>
      <c r="B8" s="7"/>
      <c r="C8" s="7"/>
      <c r="D8" s="7"/>
      <c r="E8" s="7"/>
      <c r="F8" s="10"/>
      <c r="G8" s="10"/>
      <c r="H8" s="10"/>
      <c r="I8" s="10"/>
      <c r="J8" s="10"/>
      <c r="K8" s="10"/>
      <c r="L8" s="10"/>
      <c r="M8" s="10"/>
      <c r="N8" s="7"/>
      <c r="P8" s="11"/>
      <c r="Q8" s="12"/>
      <c r="R8" s="13"/>
      <c r="S8" s="14"/>
      <c r="T8" s="11"/>
      <c r="U8" s="11"/>
      <c r="V8" s="11"/>
      <c r="W8" s="11"/>
      <c r="X8" s="11"/>
      <c r="Y8" s="11"/>
      <c r="Z8" s="11"/>
      <c r="AA8" s="11"/>
      <c r="AB8" s="11"/>
      <c r="AC8" s="11"/>
      <c r="AO8" s="2"/>
    </row>
    <row r="9" spans="1:29" ht="10.5" customHeight="1">
      <c r="A9" s="39"/>
      <c r="B9" s="46"/>
      <c r="C9" s="46"/>
      <c r="D9" s="39"/>
      <c r="E9" s="7"/>
      <c r="F9" s="50" t="s">
        <v>37</v>
      </c>
      <c r="G9" s="50"/>
      <c r="H9" s="48"/>
      <c r="I9" s="48"/>
      <c r="J9" s="51"/>
      <c r="K9" s="52" t="s">
        <v>38</v>
      </c>
      <c r="L9" s="48"/>
      <c r="M9" s="48"/>
      <c r="N9" s="39"/>
      <c r="X9" s="3"/>
      <c r="Y9" s="3"/>
      <c r="Z9" s="3"/>
      <c r="AA9" s="3"/>
      <c r="AB9" s="3"/>
      <c r="AC9" s="3"/>
    </row>
    <row r="10" spans="1:29" ht="10.5" customHeight="1">
      <c r="A10" s="39"/>
      <c r="B10" s="46"/>
      <c r="C10" s="46"/>
      <c r="D10" s="39"/>
      <c r="E10" s="7"/>
      <c r="F10" s="53" t="s">
        <v>39</v>
      </c>
      <c r="G10" s="53"/>
      <c r="H10" s="48"/>
      <c r="I10" s="54" t="s">
        <v>42</v>
      </c>
      <c r="J10" s="51"/>
      <c r="K10" s="53" t="s">
        <v>39</v>
      </c>
      <c r="L10" s="48"/>
      <c r="M10" s="54" t="s">
        <v>42</v>
      </c>
      <c r="N10" s="39"/>
      <c r="Q10" s="9"/>
      <c r="R10" s="15"/>
      <c r="S10" s="15"/>
      <c r="T10" s="15"/>
      <c r="U10" s="15"/>
      <c r="V10" s="15"/>
      <c r="W10" s="15"/>
      <c r="X10" s="3"/>
      <c r="Y10" s="3"/>
      <c r="Z10" s="3"/>
      <c r="AA10" s="3"/>
      <c r="AB10" s="3"/>
      <c r="AC10" s="3"/>
    </row>
    <row r="11" spans="1:29" ht="10.5" customHeight="1">
      <c r="A11" s="39"/>
      <c r="B11" s="46"/>
      <c r="C11" s="46"/>
      <c r="D11" s="39"/>
      <c r="E11" s="7"/>
      <c r="F11" s="55" t="s">
        <v>40</v>
      </c>
      <c r="G11" s="55"/>
      <c r="H11" s="48"/>
      <c r="I11" s="55" t="s">
        <v>40</v>
      </c>
      <c r="J11" s="51"/>
      <c r="K11" s="55" t="s">
        <v>40</v>
      </c>
      <c r="L11" s="48"/>
      <c r="M11" s="55" t="s">
        <v>40</v>
      </c>
      <c r="N11" s="39"/>
      <c r="Q11" s="9"/>
      <c r="R11" s="15"/>
      <c r="S11" s="15"/>
      <c r="T11" s="15"/>
      <c r="U11" s="15"/>
      <c r="V11" s="15"/>
      <c r="W11" s="15"/>
      <c r="X11" s="3"/>
      <c r="Y11" s="3"/>
      <c r="Z11" s="3"/>
      <c r="AA11" s="3"/>
      <c r="AB11" s="3"/>
      <c r="AC11" s="3"/>
    </row>
    <row r="12" spans="1:29" ht="10.5" customHeight="1">
      <c r="A12" s="39"/>
      <c r="B12" s="46"/>
      <c r="C12" s="46"/>
      <c r="D12" s="39"/>
      <c r="E12" s="7"/>
      <c r="F12" s="55" t="s">
        <v>41</v>
      </c>
      <c r="G12" s="55" t="s">
        <v>138</v>
      </c>
      <c r="H12" s="48"/>
      <c r="I12" s="118" t="s">
        <v>43</v>
      </c>
      <c r="J12" s="51"/>
      <c r="K12" s="55" t="s">
        <v>45</v>
      </c>
      <c r="L12" s="48"/>
      <c r="M12" s="118" t="s">
        <v>43</v>
      </c>
      <c r="N12" s="39"/>
      <c r="Q12" s="9" t="s">
        <v>77</v>
      </c>
      <c r="R12" s="15"/>
      <c r="S12" s="15"/>
      <c r="T12" s="15"/>
      <c r="U12" s="15" t="s">
        <v>78</v>
      </c>
      <c r="V12" s="15"/>
      <c r="W12" s="15"/>
      <c r="X12" s="3"/>
      <c r="Y12" s="3"/>
      <c r="Z12" s="3"/>
      <c r="AA12" s="3"/>
      <c r="AB12" s="3"/>
      <c r="AC12" s="3"/>
    </row>
    <row r="13" spans="1:29" ht="10.5" customHeight="1">
      <c r="A13" s="39"/>
      <c r="B13" s="46"/>
      <c r="C13" s="46"/>
      <c r="D13" s="39"/>
      <c r="E13" s="7"/>
      <c r="F13" s="56"/>
      <c r="G13" s="56"/>
      <c r="H13" s="48"/>
      <c r="I13" s="55" t="s">
        <v>41</v>
      </c>
      <c r="J13" s="51"/>
      <c r="K13" s="56"/>
      <c r="L13" s="48"/>
      <c r="M13" s="57" t="s">
        <v>44</v>
      </c>
      <c r="N13" s="39"/>
      <c r="Q13" s="9" t="s">
        <v>79</v>
      </c>
      <c r="R13" s="15">
        <v>187966.2</v>
      </c>
      <c r="S13" s="15"/>
      <c r="T13" s="15"/>
      <c r="U13" s="15">
        <f>6471415+702263+54981</f>
        <v>7228659</v>
      </c>
      <c r="V13" s="15"/>
      <c r="W13" s="15"/>
      <c r="X13" s="3"/>
      <c r="Y13" s="3"/>
      <c r="Z13" s="17"/>
      <c r="AA13" s="3"/>
      <c r="AB13" s="3"/>
      <c r="AC13" s="3"/>
    </row>
    <row r="14" spans="1:29" ht="10.5" customHeight="1">
      <c r="A14" s="39"/>
      <c r="B14" s="46"/>
      <c r="C14" s="46"/>
      <c r="D14" s="39"/>
      <c r="E14" s="7"/>
      <c r="F14" s="58" t="s">
        <v>99</v>
      </c>
      <c r="G14" s="58" t="s">
        <v>137</v>
      </c>
      <c r="H14" s="59"/>
      <c r="I14" s="58" t="s">
        <v>100</v>
      </c>
      <c r="J14" s="59"/>
      <c r="K14" s="60" t="str">
        <f>+F14</f>
        <v>30/09/2001</v>
      </c>
      <c r="L14" s="59"/>
      <c r="M14" s="61" t="str">
        <f>+I14</f>
        <v>30/09/2000</v>
      </c>
      <c r="N14" s="39"/>
      <c r="Q14" s="9" t="s">
        <v>80</v>
      </c>
      <c r="R14" s="15">
        <v>821843</v>
      </c>
      <c r="S14" s="15"/>
      <c r="T14" s="15"/>
      <c r="U14" s="15">
        <f>59099+20869</f>
        <v>79968</v>
      </c>
      <c r="V14" s="15"/>
      <c r="W14" s="15">
        <v>112283</v>
      </c>
      <c r="X14" s="3"/>
      <c r="Y14" s="3"/>
      <c r="Z14" s="17"/>
      <c r="AA14" s="3"/>
      <c r="AB14" s="3"/>
      <c r="AC14" s="3"/>
    </row>
    <row r="15" spans="1:29" ht="10.5" customHeight="1">
      <c r="A15" s="39"/>
      <c r="B15" s="46"/>
      <c r="C15" s="46"/>
      <c r="D15" s="39"/>
      <c r="E15" s="7"/>
      <c r="F15" s="55" t="s">
        <v>5</v>
      </c>
      <c r="G15" s="55"/>
      <c r="H15" s="62"/>
      <c r="I15" s="54" t="s">
        <v>5</v>
      </c>
      <c r="J15" s="62"/>
      <c r="K15" s="55" t="s">
        <v>5</v>
      </c>
      <c r="L15" s="62"/>
      <c r="M15" s="54" t="s">
        <v>5</v>
      </c>
      <c r="N15" s="63"/>
      <c r="Q15" s="9" t="s">
        <v>81</v>
      </c>
      <c r="R15" s="15">
        <v>224399</v>
      </c>
      <c r="S15" s="15"/>
      <c r="T15" s="15"/>
      <c r="U15" s="3">
        <f>3344.26+5901.63+6098.36+6098.36+5901.63+6098.36+5901.63</f>
        <v>39344.229999999996</v>
      </c>
      <c r="V15" s="15"/>
      <c r="W15" s="15">
        <v>4238</v>
      </c>
      <c r="X15" s="17">
        <f>494069.6-218956.35</f>
        <v>275113.25</v>
      </c>
      <c r="Y15" s="3"/>
      <c r="Z15" s="17"/>
      <c r="AA15" s="3"/>
      <c r="AB15" s="18"/>
      <c r="AC15" s="18"/>
    </row>
    <row r="16" spans="1:29" ht="10.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64"/>
      <c r="Q16" s="9" t="s">
        <v>82</v>
      </c>
      <c r="R16" s="15">
        <v>19678</v>
      </c>
      <c r="S16" s="15"/>
      <c r="T16" s="15"/>
      <c r="U16" s="15"/>
      <c r="V16" s="15"/>
      <c r="W16" s="15"/>
      <c r="X16" s="3"/>
      <c r="Y16" s="3"/>
      <c r="Z16" s="17"/>
      <c r="AA16" s="3"/>
      <c r="AB16" s="18"/>
      <c r="AC16" s="18"/>
    </row>
    <row r="17" spans="1:28" ht="10.5" customHeight="1" thickBot="1">
      <c r="A17" s="39"/>
      <c r="B17" s="65" t="s">
        <v>6</v>
      </c>
      <c r="C17" s="46" t="s">
        <v>4</v>
      </c>
      <c r="D17" s="39" t="s">
        <v>103</v>
      </c>
      <c r="E17" s="7"/>
      <c r="F17" s="66">
        <f>+K17-G17</f>
        <v>12911.118999999999</v>
      </c>
      <c r="G17" s="66">
        <v>20453.35</v>
      </c>
      <c r="H17" s="51"/>
      <c r="I17" s="67">
        <v>15084.172000000002</v>
      </c>
      <c r="J17" s="51"/>
      <c r="K17" s="66">
        <f>33364469/1000</f>
        <v>33364.469</v>
      </c>
      <c r="L17" s="68"/>
      <c r="M17" s="67">
        <v>45453.387</v>
      </c>
      <c r="N17" s="45"/>
      <c r="O17" s="2">
        <v>72962</v>
      </c>
      <c r="P17" s="21">
        <f>+M17-O17</f>
        <v>-27508.612999999998</v>
      </c>
      <c r="Q17" s="9" t="s">
        <v>83</v>
      </c>
      <c r="R17" s="15">
        <v>29098</v>
      </c>
      <c r="S17" s="15"/>
      <c r="T17" s="15"/>
      <c r="U17" s="15"/>
      <c r="V17" s="15"/>
      <c r="W17" s="15"/>
      <c r="X17" s="3"/>
      <c r="Y17" s="3"/>
      <c r="Z17" s="17"/>
      <c r="AA17" s="3"/>
      <c r="AB17" s="18"/>
    </row>
    <row r="18" spans="1:28" ht="10.5" customHeight="1" thickBot="1">
      <c r="A18" s="39"/>
      <c r="B18" s="46"/>
      <c r="C18" s="46" t="s">
        <v>7</v>
      </c>
      <c r="D18" s="69" t="s">
        <v>15</v>
      </c>
      <c r="E18" s="7"/>
      <c r="F18" s="66">
        <f>+K18-G18</f>
        <v>0</v>
      </c>
      <c r="G18" s="66">
        <v>0</v>
      </c>
      <c r="H18" s="51"/>
      <c r="I18" s="66">
        <v>7.228920000000016</v>
      </c>
      <c r="J18" s="51"/>
      <c r="K18" s="66">
        <v>0</v>
      </c>
      <c r="L18" s="51"/>
      <c r="M18" s="66">
        <v>239.066</v>
      </c>
      <c r="N18" s="39"/>
      <c r="O18" s="2">
        <v>35</v>
      </c>
      <c r="P18" s="21">
        <f aca="true" t="shared" si="0" ref="P18:P55">+M18-O18</f>
        <v>204.066</v>
      </c>
      <c r="Q18" s="9" t="s">
        <v>84</v>
      </c>
      <c r="R18" s="15"/>
      <c r="S18" s="15"/>
      <c r="T18" s="15"/>
      <c r="U18" s="15">
        <v>35772.36</v>
      </c>
      <c r="V18" s="15"/>
      <c r="W18" s="15">
        <v>35383.53</v>
      </c>
      <c r="X18" s="3"/>
      <c r="Y18" s="3"/>
      <c r="Z18" s="17"/>
      <c r="AA18" s="3"/>
      <c r="AB18" s="18"/>
    </row>
    <row r="19" spans="1:28" ht="15.75" customHeight="1" thickBot="1">
      <c r="A19" s="39"/>
      <c r="B19" s="39"/>
      <c r="C19" s="46" t="s">
        <v>9</v>
      </c>
      <c r="D19" s="69" t="s">
        <v>16</v>
      </c>
      <c r="E19" s="39"/>
      <c r="F19" s="66">
        <f>+K19-G19</f>
        <v>53.45900000000006</v>
      </c>
      <c r="G19" s="66">
        <v>1178.973</v>
      </c>
      <c r="H19" s="39"/>
      <c r="I19" s="67">
        <v>618</v>
      </c>
      <c r="J19" s="39"/>
      <c r="K19" s="66">
        <f>(1232432)/1000</f>
        <v>1232.432</v>
      </c>
      <c r="L19" s="39"/>
      <c r="M19" s="67">
        <v>1624</v>
      </c>
      <c r="N19" s="70"/>
      <c r="O19" s="2">
        <v>3080</v>
      </c>
      <c r="P19" s="21">
        <f t="shared" si="0"/>
        <v>-1456</v>
      </c>
      <c r="Q19" s="9" t="s">
        <v>85</v>
      </c>
      <c r="R19" s="15"/>
      <c r="S19" s="15"/>
      <c r="T19" s="15"/>
      <c r="U19" s="15"/>
      <c r="V19" s="15"/>
      <c r="W19" s="15"/>
      <c r="X19" s="3">
        <f>3344.26+5901.63+6098.36+6098.36+5901.63+6098.36+5901.63</f>
        <v>39344.229999999996</v>
      </c>
      <c r="Y19" s="3"/>
      <c r="Z19" s="17"/>
      <c r="AA19" s="3"/>
      <c r="AB19" s="18"/>
    </row>
    <row r="20" spans="1:29" ht="10.5" customHeight="1">
      <c r="A20" s="39"/>
      <c r="B20" s="65" t="s">
        <v>8</v>
      </c>
      <c r="C20" s="46" t="s">
        <v>4</v>
      </c>
      <c r="D20" s="129" t="s">
        <v>130</v>
      </c>
      <c r="E20" s="129"/>
      <c r="F20" s="51"/>
      <c r="G20" s="51"/>
      <c r="H20" s="51"/>
      <c r="I20" s="51"/>
      <c r="J20" s="51"/>
      <c r="K20" s="51"/>
      <c r="L20" s="51"/>
      <c r="M20" s="51"/>
      <c r="N20" s="70"/>
      <c r="P20" s="21">
        <f t="shared" si="0"/>
        <v>0</v>
      </c>
      <c r="Q20" s="9" t="s">
        <v>86</v>
      </c>
      <c r="R20" s="15">
        <v>37170</v>
      </c>
      <c r="S20" s="15"/>
      <c r="T20" s="15"/>
      <c r="U20" s="15"/>
      <c r="V20" s="15"/>
      <c r="W20" s="15"/>
      <c r="X20" s="3"/>
      <c r="Y20" s="3"/>
      <c r="Z20" s="17"/>
      <c r="AA20" s="3"/>
      <c r="AB20" s="3"/>
      <c r="AC20" s="3"/>
    </row>
    <row r="21" spans="1:29" ht="10.5" customHeight="1" hidden="1">
      <c r="A21" s="39"/>
      <c r="B21" s="46"/>
      <c r="C21" s="46"/>
      <c r="D21" s="39"/>
      <c r="E21" s="7"/>
      <c r="F21" s="51"/>
      <c r="G21" s="51" t="s">
        <v>61</v>
      </c>
      <c r="H21" s="51"/>
      <c r="I21" s="51"/>
      <c r="J21" s="51"/>
      <c r="K21" s="51" t="s">
        <v>61</v>
      </c>
      <c r="L21" s="51"/>
      <c r="M21" s="51" t="s">
        <v>61</v>
      </c>
      <c r="N21" s="39"/>
      <c r="P21" s="21" t="e">
        <f t="shared" si="0"/>
        <v>#VALUE!</v>
      </c>
      <c r="Q21" s="9" t="s">
        <v>87</v>
      </c>
      <c r="R21" s="15">
        <v>29289</v>
      </c>
      <c r="S21" s="15"/>
      <c r="T21" s="15"/>
      <c r="U21" s="15"/>
      <c r="V21" s="15"/>
      <c r="W21" s="15"/>
      <c r="X21" s="3"/>
      <c r="Y21" s="3"/>
      <c r="Z21" s="17"/>
      <c r="AA21" s="3"/>
      <c r="AB21" s="3"/>
      <c r="AC21" s="3"/>
    </row>
    <row r="22" spans="1:29" ht="10.5" customHeight="1">
      <c r="A22" s="39"/>
      <c r="B22" s="46"/>
      <c r="C22" s="46"/>
      <c r="D22" s="39" t="s">
        <v>108</v>
      </c>
      <c r="E22" s="7"/>
      <c r="F22" s="51"/>
      <c r="G22" s="51"/>
      <c r="H22" s="51"/>
      <c r="I22" s="51"/>
      <c r="J22" s="51"/>
      <c r="K22" s="51"/>
      <c r="L22" s="51"/>
      <c r="M22" s="51"/>
      <c r="N22" s="39"/>
      <c r="P22" s="21">
        <f t="shared" si="0"/>
        <v>0</v>
      </c>
      <c r="Q22" s="9" t="s">
        <v>88</v>
      </c>
      <c r="R22" s="15">
        <v>8338.68</v>
      </c>
      <c r="S22" s="15"/>
      <c r="T22" s="15"/>
      <c r="U22" s="15"/>
      <c r="V22" s="15"/>
      <c r="W22" s="15"/>
      <c r="X22" s="3"/>
      <c r="Y22" s="3"/>
      <c r="Z22" s="17"/>
      <c r="AA22" s="3"/>
      <c r="AB22" s="3"/>
      <c r="AC22" s="3"/>
    </row>
    <row r="23" spans="1:29" ht="10.5" customHeight="1">
      <c r="A23" s="39"/>
      <c r="B23" s="46"/>
      <c r="C23" s="46"/>
      <c r="D23" s="39" t="s">
        <v>124</v>
      </c>
      <c r="E23" s="7"/>
      <c r="F23" s="51"/>
      <c r="G23" s="51"/>
      <c r="H23" s="51"/>
      <c r="I23" s="51"/>
      <c r="J23" s="51"/>
      <c r="K23" s="51"/>
      <c r="L23" s="51"/>
      <c r="M23" s="51"/>
      <c r="N23" s="39"/>
      <c r="P23" s="21">
        <f t="shared" si="0"/>
        <v>0</v>
      </c>
      <c r="Q23" s="9"/>
      <c r="R23" s="15"/>
      <c r="S23" s="15"/>
      <c r="T23" s="15"/>
      <c r="U23" s="15"/>
      <c r="V23" s="15"/>
      <c r="W23" s="15"/>
      <c r="X23" s="3"/>
      <c r="Y23" s="3"/>
      <c r="Z23" s="3"/>
      <c r="AA23" s="3"/>
      <c r="AB23" s="3"/>
      <c r="AC23" s="3"/>
    </row>
    <row r="24" spans="1:29" ht="10.5" customHeight="1">
      <c r="A24" s="39"/>
      <c r="B24" s="46"/>
      <c r="C24" s="46"/>
      <c r="D24" s="39" t="s">
        <v>109</v>
      </c>
      <c r="E24" s="7"/>
      <c r="F24" s="51"/>
      <c r="G24" s="51"/>
      <c r="H24" s="51"/>
      <c r="I24" s="51"/>
      <c r="J24" s="51"/>
      <c r="K24" s="51"/>
      <c r="L24" s="51"/>
      <c r="M24" s="51"/>
      <c r="N24" s="39"/>
      <c r="P24" s="21">
        <f t="shared" si="0"/>
        <v>0</v>
      </c>
      <c r="Q24" s="9"/>
      <c r="R24" s="15">
        <f>SUM(R13:R22)</f>
        <v>1357781.88</v>
      </c>
      <c r="S24" s="15"/>
      <c r="T24" s="15"/>
      <c r="U24" s="15">
        <f>SUM(U13:U22)</f>
        <v>7383743.590000001</v>
      </c>
      <c r="V24" s="15"/>
      <c r="W24" s="15"/>
      <c r="X24" s="3"/>
      <c r="Y24" s="3"/>
      <c r="Z24" s="3"/>
      <c r="AA24" s="3"/>
      <c r="AB24" s="3"/>
      <c r="AC24" s="3"/>
    </row>
    <row r="25" spans="1:29" ht="10.5" customHeight="1">
      <c r="A25" s="39"/>
      <c r="B25" s="46"/>
      <c r="C25" s="46"/>
      <c r="D25" s="39" t="s">
        <v>110</v>
      </c>
      <c r="E25" s="7"/>
      <c r="F25" s="71">
        <v>-576</v>
      </c>
      <c r="G25" s="51">
        <v>1616.9988599999997</v>
      </c>
      <c r="H25" s="51"/>
      <c r="I25" s="51">
        <v>5165.04804</v>
      </c>
      <c r="J25" s="51"/>
      <c r="K25" s="51">
        <v>1041</v>
      </c>
      <c r="L25" s="51"/>
      <c r="M25" s="51">
        <v>16883.29983</v>
      </c>
      <c r="N25" s="39"/>
      <c r="O25" s="2">
        <v>27384</v>
      </c>
      <c r="P25" s="21">
        <f t="shared" si="0"/>
        <v>-10500.70017</v>
      </c>
      <c r="Q25" s="9"/>
      <c r="R25" s="15"/>
      <c r="S25" s="15"/>
      <c r="T25" s="15"/>
      <c r="U25" s="15"/>
      <c r="V25" s="15"/>
      <c r="W25" s="15"/>
      <c r="X25" s="3"/>
      <c r="Y25" s="3"/>
      <c r="Z25" s="17"/>
      <c r="AA25" s="3"/>
      <c r="AB25" s="3"/>
      <c r="AC25" s="3"/>
    </row>
    <row r="26" spans="1:29" ht="10.5" customHeight="1">
      <c r="A26" s="39"/>
      <c r="B26" s="46"/>
      <c r="C26" s="46" t="s">
        <v>7</v>
      </c>
      <c r="D26" s="39" t="s">
        <v>104</v>
      </c>
      <c r="E26" s="7"/>
      <c r="F26" s="71">
        <f>+K26-G26</f>
        <v>-1931.6440000000002</v>
      </c>
      <c r="G26" s="51">
        <v>-3585.527</v>
      </c>
      <c r="H26" s="51"/>
      <c r="I26" s="51">
        <v>-1720.417</v>
      </c>
      <c r="J26" s="51"/>
      <c r="K26" s="51">
        <f>(-5517171)/1000</f>
        <v>-5517.171</v>
      </c>
      <c r="L26" s="51"/>
      <c r="M26" s="51">
        <v>-5205</v>
      </c>
      <c r="N26" s="39"/>
      <c r="O26" s="2">
        <v>-6097</v>
      </c>
      <c r="P26" s="21">
        <f t="shared" si="0"/>
        <v>892</v>
      </c>
      <c r="Q26" s="1"/>
      <c r="R26" s="15">
        <f>-R24/1000</f>
        <v>-1357.78188</v>
      </c>
      <c r="S26" s="15"/>
      <c r="T26" s="15"/>
      <c r="U26" s="15">
        <f>-U24/1000</f>
        <v>-7383.743590000001</v>
      </c>
      <c r="V26" s="15"/>
      <c r="W26" s="15"/>
      <c r="X26" s="3"/>
      <c r="Y26" s="3"/>
      <c r="Z26" s="17"/>
      <c r="AA26" s="3"/>
      <c r="AB26" s="3"/>
      <c r="AC26" s="3"/>
    </row>
    <row r="27" spans="1:29" ht="10.5" customHeight="1">
      <c r="A27" s="39"/>
      <c r="B27" s="46"/>
      <c r="C27" s="46" t="s">
        <v>9</v>
      </c>
      <c r="D27" s="39" t="s">
        <v>19</v>
      </c>
      <c r="E27" s="39"/>
      <c r="F27" s="71">
        <v>-1736</v>
      </c>
      <c r="G27" s="51">
        <v>-2472.59886</v>
      </c>
      <c r="H27" s="39"/>
      <c r="I27" s="10">
        <v>-1481.6970400000005</v>
      </c>
      <c r="J27" s="39"/>
      <c r="K27" s="10">
        <v>-4208</v>
      </c>
      <c r="L27" s="39"/>
      <c r="M27" s="10">
        <v>-4384.124830000001</v>
      </c>
      <c r="N27" s="39"/>
      <c r="O27" s="2">
        <v>-4270</v>
      </c>
      <c r="P27" s="21">
        <f t="shared" si="0"/>
        <v>-114.12483000000066</v>
      </c>
      <c r="Q27" s="23"/>
      <c r="R27" s="15"/>
      <c r="S27" s="15"/>
      <c r="T27" s="15"/>
      <c r="U27" s="15"/>
      <c r="V27" s="15"/>
      <c r="W27" s="15"/>
      <c r="X27" s="3"/>
      <c r="Y27" s="3"/>
      <c r="Z27" s="17"/>
      <c r="AA27" s="3"/>
      <c r="AB27" s="3"/>
      <c r="AC27" s="3"/>
    </row>
    <row r="28" spans="1:29" ht="10.5" customHeight="1" thickBot="1">
      <c r="A28" s="39"/>
      <c r="B28" s="46"/>
      <c r="C28" s="46" t="s">
        <v>10</v>
      </c>
      <c r="D28" s="39" t="s">
        <v>18</v>
      </c>
      <c r="E28" s="7"/>
      <c r="F28" s="72">
        <v>40915</v>
      </c>
      <c r="G28" s="72" t="s">
        <v>20</v>
      </c>
      <c r="H28" s="51"/>
      <c r="I28" s="72">
        <v>0</v>
      </c>
      <c r="J28" s="51"/>
      <c r="K28" s="72">
        <v>40915</v>
      </c>
      <c r="L28" s="51"/>
      <c r="M28" s="72">
        <v>0</v>
      </c>
      <c r="N28" s="39"/>
      <c r="P28" s="21">
        <f t="shared" si="0"/>
        <v>0</v>
      </c>
      <c r="Q28" s="24"/>
      <c r="R28" s="3"/>
      <c r="S28" s="3"/>
      <c r="T28" s="3"/>
      <c r="U28" s="3"/>
      <c r="V28" s="3"/>
      <c r="W28" s="3"/>
      <c r="X28" s="3"/>
      <c r="Y28" s="3"/>
      <c r="Z28" s="17"/>
      <c r="AA28" s="3"/>
      <c r="AB28" s="3"/>
      <c r="AC28" s="3"/>
    </row>
    <row r="29" spans="1:29" ht="10.5" customHeight="1" hidden="1">
      <c r="A29" s="39"/>
      <c r="B29" s="46"/>
      <c r="C29" s="46"/>
      <c r="D29" s="39"/>
      <c r="E29" s="7"/>
      <c r="F29" s="62"/>
      <c r="G29" s="62"/>
      <c r="H29" s="51"/>
      <c r="I29" s="62"/>
      <c r="J29" s="51"/>
      <c r="K29" s="62"/>
      <c r="L29" s="51"/>
      <c r="M29" s="62"/>
      <c r="N29" s="70"/>
      <c r="P29" s="21">
        <f t="shared" si="0"/>
        <v>0</v>
      </c>
      <c r="Q29" s="24">
        <v>13800</v>
      </c>
      <c r="R29" s="18">
        <v>6.15</v>
      </c>
      <c r="S29" s="3"/>
      <c r="T29" s="3"/>
      <c r="U29" s="3"/>
      <c r="V29" s="3"/>
      <c r="W29" s="3"/>
      <c r="X29" s="3"/>
      <c r="Y29" s="3"/>
      <c r="Z29" s="17"/>
      <c r="AA29" s="3"/>
      <c r="AB29" s="3"/>
      <c r="AC29" s="3"/>
    </row>
    <row r="30" spans="1:29" ht="10.5" customHeight="1" hidden="1">
      <c r="A30" s="39"/>
      <c r="B30" s="46"/>
      <c r="C30" s="46"/>
      <c r="D30" s="39"/>
      <c r="E30" s="7"/>
      <c r="F30" s="62">
        <f>SUM(F25:F29)</f>
        <v>36671.356</v>
      </c>
      <c r="G30" s="62"/>
      <c r="H30" s="51"/>
      <c r="I30" s="62"/>
      <c r="J30" s="51"/>
      <c r="K30" s="62">
        <f>SUM(K25:K29)</f>
        <v>32230.828999999998</v>
      </c>
      <c r="L30" s="51"/>
      <c r="M30" s="62"/>
      <c r="N30" s="39"/>
      <c r="P30" s="21"/>
      <c r="Q30" s="24"/>
      <c r="R30" s="18"/>
      <c r="S30" s="3"/>
      <c r="T30" s="3"/>
      <c r="U30" s="3"/>
      <c r="V30" s="17"/>
      <c r="W30" s="17"/>
      <c r="X30" s="17"/>
      <c r="Y30" s="3"/>
      <c r="Z30" s="3"/>
      <c r="AA30" s="3"/>
      <c r="AB30" s="3"/>
      <c r="AC30" s="3"/>
    </row>
    <row r="31" spans="1:29" ht="10.5" customHeight="1">
      <c r="A31" s="39"/>
      <c r="B31" s="46"/>
      <c r="C31" s="46" t="s">
        <v>12</v>
      </c>
      <c r="D31" s="39" t="s">
        <v>131</v>
      </c>
      <c r="E31" s="7"/>
      <c r="F31" s="62"/>
      <c r="G31" s="62"/>
      <c r="H31" s="51"/>
      <c r="I31" s="62"/>
      <c r="J31" s="51"/>
      <c r="K31" s="62"/>
      <c r="L31" s="51"/>
      <c r="M31" s="62"/>
      <c r="N31" s="39"/>
      <c r="P31" s="21">
        <f t="shared" si="0"/>
        <v>0</v>
      </c>
      <c r="Q31" s="24"/>
      <c r="R31" s="18"/>
      <c r="S31" s="3"/>
      <c r="T31" s="3"/>
      <c r="U31" s="3"/>
      <c r="V31" s="3"/>
      <c r="W31" s="17"/>
      <c r="X31" s="17"/>
      <c r="Y31" s="3"/>
      <c r="Z31" s="3"/>
      <c r="AA31" s="3"/>
      <c r="AB31" s="3"/>
      <c r="AC31" s="3"/>
    </row>
    <row r="32" spans="1:29" ht="10.5" customHeight="1">
      <c r="A32" s="39"/>
      <c r="B32" s="46"/>
      <c r="C32" s="46"/>
      <c r="D32" s="39" t="s">
        <v>119</v>
      </c>
      <c r="E32" s="7"/>
      <c r="F32" s="62"/>
      <c r="G32" s="62"/>
      <c r="H32" s="51"/>
      <c r="I32" s="62"/>
      <c r="J32" s="51"/>
      <c r="K32" s="62"/>
      <c r="L32" s="51"/>
      <c r="M32" s="62"/>
      <c r="N32" s="39"/>
      <c r="P32" s="21">
        <f t="shared" si="0"/>
        <v>0</v>
      </c>
      <c r="Q32" s="24"/>
      <c r="R32" s="18"/>
      <c r="S32" s="3"/>
      <c r="T32" s="3"/>
      <c r="U32" s="3"/>
      <c r="V32" s="3"/>
      <c r="W32" s="17"/>
      <c r="X32" s="17"/>
      <c r="Y32" s="3"/>
      <c r="Z32" s="3"/>
      <c r="AA32" s="3"/>
      <c r="AB32" s="3"/>
      <c r="AC32" s="3"/>
    </row>
    <row r="33" spans="1:29" ht="10.5" customHeight="1">
      <c r="A33" s="39"/>
      <c r="B33" s="46"/>
      <c r="C33" s="46"/>
      <c r="D33" s="39" t="s">
        <v>120</v>
      </c>
      <c r="E33" s="7"/>
      <c r="F33" s="71">
        <f>+F30</f>
        <v>36671.356</v>
      </c>
      <c r="G33" s="62">
        <v>-4441.127</v>
      </c>
      <c r="H33" s="51"/>
      <c r="I33" s="62">
        <v>1962.9340000000002</v>
      </c>
      <c r="J33" s="51"/>
      <c r="K33" s="71">
        <f>+K30</f>
        <v>32230.828999999998</v>
      </c>
      <c r="L33" s="51"/>
      <c r="M33" s="62">
        <v>7294.175</v>
      </c>
      <c r="N33" s="39"/>
      <c r="O33" s="2">
        <v>17017</v>
      </c>
      <c r="P33" s="21">
        <f t="shared" si="0"/>
        <v>-9722.825</v>
      </c>
      <c r="Q33" s="24"/>
      <c r="R33" s="18"/>
      <c r="S33" s="3"/>
      <c r="T33" s="3"/>
      <c r="U33" s="3"/>
      <c r="V33" s="3"/>
      <c r="W33" s="17"/>
      <c r="X33" s="17"/>
      <c r="Y33" s="3"/>
      <c r="Z33" s="3"/>
      <c r="AA33" s="3"/>
      <c r="AB33" s="3"/>
      <c r="AC33" s="3"/>
    </row>
    <row r="34" spans="1:29" ht="10.5" customHeight="1">
      <c r="A34" s="39"/>
      <c r="B34" s="46"/>
      <c r="C34" s="46" t="s">
        <v>21</v>
      </c>
      <c r="D34" s="39" t="s">
        <v>121</v>
      </c>
      <c r="E34" s="7"/>
      <c r="F34" s="51"/>
      <c r="G34" s="51"/>
      <c r="H34" s="51"/>
      <c r="I34" s="51"/>
      <c r="J34" s="51"/>
      <c r="K34" s="51"/>
      <c r="L34" s="51"/>
      <c r="M34" s="51"/>
      <c r="N34" s="39"/>
      <c r="P34" s="21">
        <f t="shared" si="0"/>
        <v>0</v>
      </c>
      <c r="Q34" s="24"/>
      <c r="R34" s="18"/>
      <c r="S34" s="3"/>
      <c r="T34" s="3"/>
      <c r="U34" s="3"/>
      <c r="V34" s="3"/>
      <c r="W34" s="17"/>
      <c r="X34" s="17"/>
      <c r="Y34" s="3"/>
      <c r="Z34" s="3"/>
      <c r="AA34" s="3"/>
      <c r="AB34" s="3"/>
      <c r="AC34" s="3"/>
    </row>
    <row r="35" spans="1:29" ht="10.5" customHeight="1" thickBot="1">
      <c r="A35" s="39"/>
      <c r="B35" s="46"/>
      <c r="C35" s="46"/>
      <c r="D35" s="39" t="s">
        <v>122</v>
      </c>
      <c r="E35" s="7"/>
      <c r="F35" s="66">
        <f>+K35-G35</f>
        <v>99.22799999999916</v>
      </c>
      <c r="G35" s="66">
        <v>5063.002</v>
      </c>
      <c r="H35" s="51"/>
      <c r="I35" s="66">
        <v>3162.544</v>
      </c>
      <c r="J35" s="51"/>
      <c r="K35" s="66">
        <f>5162230/1000</f>
        <v>5162.23</v>
      </c>
      <c r="L35" s="51"/>
      <c r="M35" s="66">
        <v>11758.904</v>
      </c>
      <c r="N35" s="39"/>
      <c r="O35" s="2">
        <v>15661</v>
      </c>
      <c r="P35" s="21">
        <f t="shared" si="0"/>
        <v>-3902.0959999999995</v>
      </c>
      <c r="Q35" s="24"/>
      <c r="R35" s="18"/>
      <c r="S35" s="3"/>
      <c r="T35" s="3"/>
      <c r="U35" s="3"/>
      <c r="V35" s="3"/>
      <c r="W35" s="17"/>
      <c r="X35" s="17"/>
      <c r="Y35" s="3"/>
      <c r="Z35" s="3"/>
      <c r="AA35" s="3"/>
      <c r="AB35" s="3"/>
      <c r="AC35" s="3"/>
    </row>
    <row r="36" spans="1:29" ht="10.5" customHeight="1">
      <c r="A36" s="39"/>
      <c r="B36" s="46"/>
      <c r="C36" s="46" t="s">
        <v>22</v>
      </c>
      <c r="D36" s="39" t="s">
        <v>132</v>
      </c>
      <c r="E36" s="7"/>
      <c r="F36" s="51"/>
      <c r="G36" s="51"/>
      <c r="H36" s="51"/>
      <c r="I36" s="51"/>
      <c r="J36" s="51"/>
      <c r="K36" s="51"/>
      <c r="L36" s="51"/>
      <c r="M36" s="51"/>
      <c r="N36" s="39"/>
      <c r="P36" s="21">
        <f t="shared" si="0"/>
        <v>0</v>
      </c>
      <c r="Q36" s="24">
        <f>SUM(Q29:Q35)</f>
        <v>13800</v>
      </c>
      <c r="R36" s="18">
        <f>SUM(R29:R35)</f>
        <v>6.15</v>
      </c>
      <c r="S36" s="25">
        <f>+Q36+R36</f>
        <v>13806.15</v>
      </c>
      <c r="T36" s="3"/>
      <c r="U36" s="3"/>
      <c r="V36" s="3"/>
      <c r="W36" s="17"/>
      <c r="X36" s="17"/>
      <c r="Y36" s="3"/>
      <c r="Z36" s="3"/>
      <c r="AA36" s="3"/>
      <c r="AB36" s="3"/>
      <c r="AC36" s="3"/>
    </row>
    <row r="37" spans="1:29" ht="10.5" customHeight="1">
      <c r="A37" s="39"/>
      <c r="B37" s="46"/>
      <c r="C37" s="39"/>
      <c r="D37" s="39" t="s">
        <v>123</v>
      </c>
      <c r="E37" s="7"/>
      <c r="F37" s="39"/>
      <c r="G37" s="39"/>
      <c r="H37" s="39"/>
      <c r="I37" s="39"/>
      <c r="J37" s="39"/>
      <c r="K37" s="39"/>
      <c r="L37" s="39"/>
      <c r="M37" s="39"/>
      <c r="N37" s="39"/>
      <c r="P37" s="21">
        <f t="shared" si="0"/>
        <v>0</v>
      </c>
      <c r="Q37" s="24"/>
      <c r="R37" s="18"/>
      <c r="S37" s="3"/>
      <c r="T37" s="3"/>
      <c r="U37" s="3"/>
      <c r="V37" s="3"/>
      <c r="W37" s="17"/>
      <c r="X37" s="17"/>
      <c r="Y37" s="3"/>
      <c r="Z37" s="3"/>
      <c r="AA37" s="3"/>
      <c r="AB37" s="3"/>
      <c r="AC37" s="3"/>
    </row>
    <row r="38" spans="1:29" ht="10.5" customHeight="1">
      <c r="A38" s="39"/>
      <c r="B38" s="46"/>
      <c r="C38" s="46"/>
      <c r="D38" s="39" t="s">
        <v>17</v>
      </c>
      <c r="E38" s="39"/>
      <c r="F38" s="71">
        <f>+F33+F35-1</f>
        <v>36769.584</v>
      </c>
      <c r="G38" s="51">
        <v>621.875</v>
      </c>
      <c r="H38" s="51">
        <f>SUM(I20:I35)</f>
        <v>7088.411999999999</v>
      </c>
      <c r="I38" s="51">
        <v>5125.478000000001</v>
      </c>
      <c r="J38" s="51">
        <f>SUM(K20:K35)</f>
        <v>101854.71699999999</v>
      </c>
      <c r="K38" s="73">
        <f>+K33+K35</f>
        <v>37393.058999999994</v>
      </c>
      <c r="L38" s="51">
        <f>SUM(M20:M35)</f>
        <v>26347.254</v>
      </c>
      <c r="M38" s="51">
        <v>19053.079</v>
      </c>
      <c r="N38" s="39"/>
      <c r="O38" s="2">
        <v>32678</v>
      </c>
      <c r="P38" s="21">
        <f t="shared" si="0"/>
        <v>-13624.920999999998</v>
      </c>
      <c r="Q38" s="17"/>
      <c r="R38" s="3"/>
      <c r="S38" s="3"/>
      <c r="T38" s="3"/>
      <c r="U38" s="3"/>
      <c r="V38" s="3"/>
      <c r="W38" s="17"/>
      <c r="X38" s="17"/>
      <c r="Y38" s="3"/>
      <c r="Z38" s="3"/>
      <c r="AA38" s="3"/>
      <c r="AB38" s="3"/>
      <c r="AC38" s="3"/>
    </row>
    <row r="39" spans="1:29" ht="10.5" customHeight="1" thickBot="1">
      <c r="A39" s="39"/>
      <c r="B39" s="46"/>
      <c r="C39" s="46" t="s">
        <v>23</v>
      </c>
      <c r="D39" s="39" t="s">
        <v>105</v>
      </c>
      <c r="E39" s="7"/>
      <c r="F39" s="66">
        <v>-4437</v>
      </c>
      <c r="G39" s="66">
        <v>-1454.045</v>
      </c>
      <c r="H39" s="51"/>
      <c r="I39" s="66">
        <v>-2574.101</v>
      </c>
      <c r="J39" s="51"/>
      <c r="K39" s="66">
        <v>-5892</v>
      </c>
      <c r="L39" s="51"/>
      <c r="M39" s="66">
        <v>-4328.3</v>
      </c>
      <c r="N39" s="45"/>
      <c r="O39" s="2">
        <v>-1433</v>
      </c>
      <c r="P39" s="21">
        <f t="shared" si="0"/>
        <v>-2895.3</v>
      </c>
      <c r="Q39" s="17"/>
      <c r="R39" s="3"/>
      <c r="S39" s="3"/>
      <c r="T39" s="3"/>
      <c r="U39" s="3"/>
      <c r="V39" s="3"/>
      <c r="W39" s="17"/>
      <c r="X39" s="17"/>
      <c r="Y39" s="3"/>
      <c r="Z39" s="3"/>
      <c r="AA39" s="3"/>
      <c r="AB39" s="3"/>
      <c r="AC39" s="3"/>
    </row>
    <row r="40" spans="1:29" ht="10.5" customHeight="1">
      <c r="A40" s="39"/>
      <c r="B40" s="46"/>
      <c r="C40" s="74" t="s">
        <v>13</v>
      </c>
      <c r="D40" s="74" t="s">
        <v>13</v>
      </c>
      <c r="E40" s="7" t="s">
        <v>133</v>
      </c>
      <c r="F40" s="51"/>
      <c r="G40" s="51"/>
      <c r="H40" s="51"/>
      <c r="I40" s="51"/>
      <c r="J40" s="51"/>
      <c r="K40" s="51"/>
      <c r="L40" s="51"/>
      <c r="M40" s="51"/>
      <c r="N40" s="39"/>
      <c r="P40" s="21">
        <f t="shared" si="0"/>
        <v>0</v>
      </c>
      <c r="Q40" s="17"/>
      <c r="R40" s="3"/>
      <c r="S40" s="3"/>
      <c r="T40" s="3"/>
      <c r="U40" s="3"/>
      <c r="V40" s="3"/>
      <c r="W40" s="17"/>
      <c r="X40" s="17"/>
      <c r="Y40" s="3"/>
      <c r="Z40" s="3"/>
      <c r="AA40" s="3"/>
      <c r="AB40" s="3"/>
      <c r="AC40" s="3"/>
    </row>
    <row r="41" spans="1:29" ht="10.5" customHeight="1">
      <c r="A41" s="39"/>
      <c r="B41" s="46"/>
      <c r="C41" s="74"/>
      <c r="D41" s="74"/>
      <c r="E41" s="7" t="s">
        <v>125</v>
      </c>
      <c r="F41" s="51"/>
      <c r="G41" s="51"/>
      <c r="H41" s="51"/>
      <c r="I41" s="51"/>
      <c r="J41" s="51"/>
      <c r="K41" s="51"/>
      <c r="L41" s="51"/>
      <c r="M41" s="51"/>
      <c r="N41" s="70"/>
      <c r="P41" s="21">
        <f t="shared" si="0"/>
        <v>0</v>
      </c>
      <c r="Q41" s="17"/>
      <c r="R41" s="3"/>
      <c r="S41" s="3"/>
      <c r="T41" s="3"/>
      <c r="U41" s="3"/>
      <c r="V41" s="3"/>
      <c r="W41" s="17"/>
      <c r="X41" s="17"/>
      <c r="Y41" s="3"/>
      <c r="Z41" s="3"/>
      <c r="AA41" s="3"/>
      <c r="AB41" s="3"/>
      <c r="AC41" s="3"/>
    </row>
    <row r="42" spans="1:29" ht="10.5" customHeight="1">
      <c r="A42" s="39"/>
      <c r="B42" s="46"/>
      <c r="C42" s="74"/>
      <c r="D42" s="74"/>
      <c r="E42" s="7" t="s">
        <v>126</v>
      </c>
      <c r="F42" s="71">
        <f>+F38+F39</f>
        <v>32332.584000000003</v>
      </c>
      <c r="G42" s="73">
        <v>-832.17</v>
      </c>
      <c r="H42" s="51"/>
      <c r="I42" s="51">
        <v>2551.377000000002</v>
      </c>
      <c r="J42" s="51"/>
      <c r="K42" s="71">
        <f>+K38+K39</f>
        <v>31501.058999999994</v>
      </c>
      <c r="L42" s="51"/>
      <c r="M42" s="51">
        <v>14724.779000000002</v>
      </c>
      <c r="N42" s="75"/>
      <c r="O42" s="2">
        <v>31245</v>
      </c>
      <c r="P42" s="21">
        <f t="shared" si="0"/>
        <v>-16520.220999999998</v>
      </c>
      <c r="Q42" s="17"/>
      <c r="R42" s="3"/>
      <c r="S42" s="3"/>
      <c r="T42" s="3"/>
      <c r="U42" s="3"/>
      <c r="V42" s="3"/>
      <c r="W42" s="17"/>
      <c r="X42" s="17"/>
      <c r="Y42" s="3"/>
      <c r="Z42" s="3"/>
      <c r="AA42" s="3"/>
      <c r="AB42" s="3"/>
      <c r="AC42" s="3"/>
    </row>
    <row r="43" spans="1:29" ht="10.5" customHeight="1" thickBot="1">
      <c r="A43" s="39"/>
      <c r="B43" s="46"/>
      <c r="C43" s="74"/>
      <c r="D43" s="74" t="s">
        <v>14</v>
      </c>
      <c r="E43" s="7" t="s">
        <v>24</v>
      </c>
      <c r="F43" s="66">
        <f>+K43-G43</f>
        <v>35.41</v>
      </c>
      <c r="G43" s="72">
        <v>0</v>
      </c>
      <c r="H43" s="51"/>
      <c r="I43" s="72">
        <v>0</v>
      </c>
      <c r="J43" s="51"/>
      <c r="K43" s="72">
        <f>35410/1000</f>
        <v>35.41</v>
      </c>
      <c r="L43" s="51"/>
      <c r="M43" s="72">
        <v>0</v>
      </c>
      <c r="N43" s="39"/>
      <c r="P43" s="21"/>
      <c r="Q43" s="27"/>
      <c r="R43" s="28"/>
      <c r="S43" s="29"/>
      <c r="T43" s="30"/>
      <c r="U43" s="30"/>
      <c r="V43" s="17"/>
      <c r="W43" s="17"/>
      <c r="X43" s="17"/>
      <c r="Y43" s="3"/>
      <c r="Z43" s="3"/>
      <c r="AA43" s="3"/>
      <c r="AB43" s="3"/>
      <c r="AC43" s="3"/>
    </row>
    <row r="44" spans="1:29" ht="10.5" customHeight="1">
      <c r="A44" s="39"/>
      <c r="B44" s="46"/>
      <c r="C44" s="74"/>
      <c r="D44" s="74"/>
      <c r="E44" s="7"/>
      <c r="F44" s="71">
        <f>+F42+F43</f>
        <v>32367.994000000002</v>
      </c>
      <c r="G44" s="76"/>
      <c r="H44" s="51"/>
      <c r="I44" s="71">
        <f>+I42+I43</f>
        <v>2551.377000000002</v>
      </c>
      <c r="J44" s="51"/>
      <c r="K44" s="71">
        <f>+K42+K43</f>
        <v>31536.468999999994</v>
      </c>
      <c r="L44" s="51"/>
      <c r="M44" s="71">
        <f>+M42+M43</f>
        <v>14724.779000000002</v>
      </c>
      <c r="N44" s="39"/>
      <c r="P44" s="21"/>
      <c r="Q44" s="27"/>
      <c r="R44" s="28"/>
      <c r="S44" s="29"/>
      <c r="T44" s="30"/>
      <c r="U44" s="30"/>
      <c r="V44" s="17"/>
      <c r="W44" s="17"/>
      <c r="X44" s="17"/>
      <c r="Y44" s="3"/>
      <c r="Z44" s="3"/>
      <c r="AA44" s="3"/>
      <c r="AB44" s="3"/>
      <c r="AC44" s="3"/>
    </row>
    <row r="45" spans="1:29" ht="14.25" customHeight="1" thickBot="1">
      <c r="A45" s="39"/>
      <c r="B45" s="46"/>
      <c r="C45" s="74" t="s">
        <v>25</v>
      </c>
      <c r="D45" s="42" t="s">
        <v>135</v>
      </c>
      <c r="E45" s="42"/>
      <c r="F45" s="127">
        <v>-227</v>
      </c>
      <c r="G45" s="77" t="s">
        <v>20</v>
      </c>
      <c r="H45" s="51"/>
      <c r="I45" s="127">
        <v>0</v>
      </c>
      <c r="J45" s="51"/>
      <c r="K45" s="127">
        <v>-227</v>
      </c>
      <c r="L45" s="51"/>
      <c r="M45" s="127">
        <v>0</v>
      </c>
      <c r="N45" s="39"/>
      <c r="P45" s="21"/>
      <c r="Q45" s="27"/>
      <c r="R45" s="28"/>
      <c r="S45" s="29"/>
      <c r="T45" s="30"/>
      <c r="U45" s="30"/>
      <c r="V45" s="17"/>
      <c r="W45" s="17"/>
      <c r="X45" s="17"/>
      <c r="Y45" s="3"/>
      <c r="Z45" s="3"/>
      <c r="AA45" s="3"/>
      <c r="AB45" s="3"/>
      <c r="AC45" s="3"/>
    </row>
    <row r="46" spans="1:29" ht="10.5" customHeight="1">
      <c r="A46" s="39"/>
      <c r="B46" s="46"/>
      <c r="C46" s="74" t="s">
        <v>26</v>
      </c>
      <c r="D46" s="7" t="s">
        <v>112</v>
      </c>
      <c r="E46" s="7"/>
      <c r="F46" s="62"/>
      <c r="G46" s="62"/>
      <c r="H46" s="51"/>
      <c r="I46" s="62"/>
      <c r="J46" s="51"/>
      <c r="K46" s="62"/>
      <c r="L46" s="51"/>
      <c r="M46" s="62"/>
      <c r="N46" s="39"/>
      <c r="P46" s="21">
        <f t="shared" si="0"/>
        <v>0</v>
      </c>
      <c r="Q46" s="31"/>
      <c r="R46" s="28"/>
      <c r="S46" s="29"/>
      <c r="T46" s="30"/>
      <c r="U46" s="30"/>
      <c r="V46" s="17"/>
      <c r="W46" s="17"/>
      <c r="X46" s="17"/>
      <c r="Y46" s="3"/>
      <c r="Z46" s="3"/>
      <c r="AA46" s="3"/>
      <c r="AB46" s="3"/>
      <c r="AC46" s="3"/>
    </row>
    <row r="47" spans="1:29" ht="10.5" customHeight="1">
      <c r="A47" s="39"/>
      <c r="B47" s="46"/>
      <c r="C47" s="46"/>
      <c r="D47" s="7" t="s">
        <v>113</v>
      </c>
      <c r="E47" s="7"/>
      <c r="F47" s="51"/>
      <c r="G47" s="51"/>
      <c r="H47" s="51"/>
      <c r="I47" s="51"/>
      <c r="J47" s="51"/>
      <c r="K47" s="51"/>
      <c r="L47" s="51"/>
      <c r="M47" s="51"/>
      <c r="N47" s="39"/>
      <c r="P47" s="21">
        <f t="shared" si="0"/>
        <v>0</v>
      </c>
      <c r="Q47" s="32"/>
      <c r="R47" s="3"/>
      <c r="S47" s="11"/>
      <c r="T47" s="17"/>
      <c r="U47" s="17"/>
      <c r="V47" s="17"/>
      <c r="W47" s="17"/>
      <c r="X47" s="17"/>
      <c r="Y47" s="3"/>
      <c r="Z47" s="3"/>
      <c r="AA47" s="3"/>
      <c r="AB47" s="3"/>
      <c r="AC47" s="3"/>
    </row>
    <row r="48" spans="1:29" ht="10.5" customHeight="1">
      <c r="A48" s="39"/>
      <c r="B48" s="46"/>
      <c r="C48" s="46"/>
      <c r="D48" s="7" t="s">
        <v>114</v>
      </c>
      <c r="E48" s="7"/>
      <c r="F48" s="71">
        <f>+F44+F45</f>
        <v>32140.994000000002</v>
      </c>
      <c r="G48" s="73">
        <v>-832.17</v>
      </c>
      <c r="H48" s="51"/>
      <c r="I48" s="71">
        <v>2551.377000000002</v>
      </c>
      <c r="J48" s="51"/>
      <c r="K48" s="71">
        <f>+K44+K45</f>
        <v>31309.468999999994</v>
      </c>
      <c r="L48" s="51"/>
      <c r="M48" s="71">
        <v>14724.779000000002</v>
      </c>
      <c r="N48" s="39"/>
      <c r="O48" s="2">
        <v>31245</v>
      </c>
      <c r="P48" s="21">
        <f t="shared" si="0"/>
        <v>-16520.220999999998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0.5" customHeight="1">
      <c r="A49" s="39"/>
      <c r="B49" s="46"/>
      <c r="C49" s="46" t="s">
        <v>28</v>
      </c>
      <c r="D49" s="74" t="s">
        <v>13</v>
      </c>
      <c r="E49" s="41" t="s">
        <v>115</v>
      </c>
      <c r="F49" s="77">
        <v>0</v>
      </c>
      <c r="G49" s="77" t="s">
        <v>20</v>
      </c>
      <c r="H49" s="51"/>
      <c r="I49" s="77">
        <v>0</v>
      </c>
      <c r="J49" s="51"/>
      <c r="K49" s="77">
        <v>0</v>
      </c>
      <c r="L49" s="51"/>
      <c r="M49" s="77">
        <v>0</v>
      </c>
      <c r="N49" s="39"/>
      <c r="P49" s="21">
        <f t="shared" si="0"/>
        <v>0</v>
      </c>
      <c r="Q49" s="3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0.5" customHeight="1" thickBot="1">
      <c r="A50" s="39"/>
      <c r="B50" s="46"/>
      <c r="C50" s="46"/>
      <c r="D50" s="74" t="s">
        <v>14</v>
      </c>
      <c r="E50" s="7" t="s">
        <v>116</v>
      </c>
      <c r="F50" s="72">
        <v>0</v>
      </c>
      <c r="G50" s="77" t="s">
        <v>20</v>
      </c>
      <c r="H50" s="51"/>
      <c r="I50" s="72">
        <v>0</v>
      </c>
      <c r="J50" s="51"/>
      <c r="K50" s="72">
        <v>0</v>
      </c>
      <c r="L50" s="51"/>
      <c r="M50" s="72">
        <v>0</v>
      </c>
      <c r="N50" s="39"/>
      <c r="P50" s="21">
        <f t="shared" si="0"/>
        <v>0</v>
      </c>
      <c r="Q50" s="26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0.5" customHeight="1">
      <c r="A51" s="39"/>
      <c r="B51" s="46"/>
      <c r="C51" s="46"/>
      <c r="D51" s="74" t="s">
        <v>27</v>
      </c>
      <c r="E51" s="7" t="s">
        <v>117</v>
      </c>
      <c r="F51" s="71"/>
      <c r="G51" s="71"/>
      <c r="H51" s="51"/>
      <c r="I51" s="71"/>
      <c r="J51" s="51"/>
      <c r="K51" s="71"/>
      <c r="L51" s="51"/>
      <c r="M51" s="71"/>
      <c r="N51" s="39"/>
      <c r="P51" s="21">
        <f t="shared" si="0"/>
        <v>0</v>
      </c>
      <c r="Q51" s="3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0.5" customHeight="1">
      <c r="A52" s="39"/>
      <c r="B52" s="46"/>
      <c r="C52" s="46"/>
      <c r="D52" s="7"/>
      <c r="E52" s="7" t="s">
        <v>118</v>
      </c>
      <c r="F52" s="77"/>
      <c r="G52" s="77">
        <v>0</v>
      </c>
      <c r="H52" s="51"/>
      <c r="I52" s="77"/>
      <c r="J52" s="51"/>
      <c r="K52" s="77"/>
      <c r="L52" s="51"/>
      <c r="M52" s="77"/>
      <c r="N52" s="39"/>
      <c r="P52" s="21">
        <f t="shared" si="0"/>
        <v>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0.5" customHeight="1" thickBot="1">
      <c r="A53" s="39"/>
      <c r="B53" s="46"/>
      <c r="C53" s="46"/>
      <c r="D53" s="46"/>
      <c r="E53" s="7" t="s">
        <v>111</v>
      </c>
      <c r="F53" s="66">
        <v>0</v>
      </c>
      <c r="G53" s="51"/>
      <c r="H53" s="51"/>
      <c r="I53" s="66">
        <v>0</v>
      </c>
      <c r="J53" s="51"/>
      <c r="K53" s="66">
        <v>0</v>
      </c>
      <c r="L53" s="51"/>
      <c r="M53" s="66">
        <v>0</v>
      </c>
      <c r="N53" s="70"/>
      <c r="P53" s="21">
        <f t="shared" si="0"/>
        <v>0</v>
      </c>
      <c r="Q53" s="3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0.5" customHeight="1">
      <c r="A54" s="39"/>
      <c r="B54" s="78"/>
      <c r="C54" s="74" t="s">
        <v>106</v>
      </c>
      <c r="D54" s="130" t="s">
        <v>136</v>
      </c>
      <c r="E54" s="130"/>
      <c r="F54" s="71"/>
      <c r="G54" s="71"/>
      <c r="H54" s="71"/>
      <c r="I54" s="71"/>
      <c r="J54" s="71"/>
      <c r="K54" s="71"/>
      <c r="L54" s="71"/>
      <c r="M54" s="71"/>
      <c r="N54" s="70"/>
      <c r="P54" s="21">
        <f t="shared" si="0"/>
        <v>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0.5" customHeight="1" thickBot="1">
      <c r="A55" s="39"/>
      <c r="B55" s="46"/>
      <c r="C55" s="79"/>
      <c r="D55" s="7" t="s">
        <v>29</v>
      </c>
      <c r="E55" s="78"/>
      <c r="F55" s="66">
        <f>SUM(F48:F54)</f>
        <v>32140.994000000002</v>
      </c>
      <c r="G55" s="80">
        <v>-832.17</v>
      </c>
      <c r="H55" s="71"/>
      <c r="I55" s="66">
        <v>2551.377000000002</v>
      </c>
      <c r="J55" s="71"/>
      <c r="K55" s="117">
        <f>SUM(K48:K54)</f>
        <v>31309.468999999994</v>
      </c>
      <c r="L55" s="71"/>
      <c r="M55" s="66">
        <v>14724.779000000002</v>
      </c>
      <c r="N55" s="70"/>
      <c r="O55" s="2">
        <v>31245</v>
      </c>
      <c r="P55" s="21">
        <f t="shared" si="0"/>
        <v>-16520.220999999998</v>
      </c>
      <c r="Q55" s="34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0.5" customHeight="1">
      <c r="A56" s="39"/>
      <c r="B56" s="46"/>
      <c r="C56" s="46"/>
      <c r="D56" s="39"/>
      <c r="E56" s="7"/>
      <c r="F56" s="51"/>
      <c r="G56" s="51"/>
      <c r="H56" s="51"/>
      <c r="I56" s="51"/>
      <c r="J56" s="51"/>
      <c r="K56" s="51"/>
      <c r="L56" s="51"/>
      <c r="M56" s="51"/>
      <c r="N56" s="70"/>
      <c r="P56" s="3"/>
      <c r="Q56" s="34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0.5" customHeight="1">
      <c r="A57" s="39"/>
      <c r="B57" s="81" t="s">
        <v>3</v>
      </c>
      <c r="C57" s="39"/>
      <c r="D57" s="39" t="s">
        <v>30</v>
      </c>
      <c r="E57" s="39"/>
      <c r="F57" s="39"/>
      <c r="G57" s="39"/>
      <c r="H57" s="39"/>
      <c r="I57" s="39"/>
      <c r="J57" s="39"/>
      <c r="K57" s="39"/>
      <c r="L57" s="39"/>
      <c r="M57" s="39"/>
      <c r="N57" s="70"/>
      <c r="P57" s="3"/>
      <c r="Q57" s="34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0.5" customHeight="1">
      <c r="A58" s="39"/>
      <c r="B58" s="39"/>
      <c r="C58" s="39"/>
      <c r="D58" s="39" t="s">
        <v>107</v>
      </c>
      <c r="E58" s="39"/>
      <c r="F58" s="39"/>
      <c r="G58" s="39"/>
      <c r="H58" s="39"/>
      <c r="I58" s="39"/>
      <c r="J58" s="39"/>
      <c r="K58" s="71"/>
      <c r="L58" s="39"/>
      <c r="M58" s="39"/>
      <c r="N58" s="39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0.5" customHeight="1">
      <c r="A59" s="39"/>
      <c r="B59" s="46"/>
      <c r="C59" s="46"/>
      <c r="D59" s="39" t="s">
        <v>31</v>
      </c>
      <c r="E59" s="7"/>
      <c r="F59" s="71"/>
      <c r="G59" s="71"/>
      <c r="H59" s="71"/>
      <c r="I59" s="71"/>
      <c r="J59" s="71"/>
      <c r="K59" s="71"/>
      <c r="L59" s="71"/>
      <c r="M59" s="71"/>
      <c r="N59" s="70"/>
      <c r="P59" s="3"/>
      <c r="Q59" s="34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0.5" customHeight="1">
      <c r="A60" s="39"/>
      <c r="B60" s="46"/>
      <c r="C60" s="46"/>
      <c r="D60" s="39" t="s">
        <v>32</v>
      </c>
      <c r="E60" s="7"/>
      <c r="F60" s="71"/>
      <c r="G60" s="71"/>
      <c r="H60" s="71"/>
      <c r="I60" s="71"/>
      <c r="J60" s="71"/>
      <c r="K60" s="71"/>
      <c r="L60" s="71"/>
      <c r="M60" s="71"/>
      <c r="N60" s="39"/>
      <c r="O60" s="9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0.5" customHeight="1">
      <c r="A61" s="39"/>
      <c r="B61" s="46"/>
      <c r="C61" s="46"/>
      <c r="D61" s="39" t="s">
        <v>4</v>
      </c>
      <c r="E61" s="7" t="s">
        <v>34</v>
      </c>
      <c r="F61" s="71"/>
      <c r="G61" s="71"/>
      <c r="H61" s="71"/>
      <c r="I61" s="71"/>
      <c r="J61" s="71"/>
      <c r="K61" s="71"/>
      <c r="L61" s="71"/>
      <c r="M61" s="71"/>
      <c r="N61" s="7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0.5" customHeight="1">
      <c r="A62" s="39"/>
      <c r="B62" s="46"/>
      <c r="C62" s="46"/>
      <c r="D62" s="39"/>
      <c r="E62" s="7" t="s">
        <v>35</v>
      </c>
      <c r="F62" s="82"/>
      <c r="G62" s="82"/>
      <c r="H62" s="82"/>
      <c r="I62" s="82"/>
      <c r="J62" s="82"/>
      <c r="K62" s="82"/>
      <c r="L62" s="82"/>
      <c r="M62" s="82"/>
      <c r="N62" s="39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75" customHeight="1" thickBot="1">
      <c r="A63" s="39"/>
      <c r="B63" s="46"/>
      <c r="C63" s="46"/>
      <c r="D63" s="39"/>
      <c r="E63" s="7" t="s">
        <v>36</v>
      </c>
      <c r="F63" s="123">
        <f>+F55/160000*100</f>
        <v>20.08812125</v>
      </c>
      <c r="G63" s="120">
        <v>-0.5201062500000001</v>
      </c>
      <c r="H63" s="121"/>
      <c r="I63" s="124">
        <v>1.5946106250000016</v>
      </c>
      <c r="J63" s="121"/>
      <c r="K63" s="125">
        <f>+K55/160000*100</f>
        <v>19.568418124999994</v>
      </c>
      <c r="L63" s="121"/>
      <c r="M63" s="124">
        <v>9.202986875</v>
      </c>
      <c r="N63" s="39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0.5" customHeight="1" thickTop="1">
      <c r="A64" s="39"/>
      <c r="B64" s="46"/>
      <c r="C64" s="46"/>
      <c r="D64" s="83" t="s">
        <v>7</v>
      </c>
      <c r="E64" s="7" t="s">
        <v>33</v>
      </c>
      <c r="F64" s="119"/>
      <c r="G64" s="121"/>
      <c r="H64" s="121"/>
      <c r="I64" s="121"/>
      <c r="J64" s="121"/>
      <c r="K64" s="121"/>
      <c r="L64" s="121"/>
      <c r="M64" s="121"/>
      <c r="N64" s="45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0.5" customHeight="1">
      <c r="A65" s="39"/>
      <c r="B65" s="46"/>
      <c r="C65" s="46"/>
      <c r="D65" s="39"/>
      <c r="E65" s="7" t="s">
        <v>74</v>
      </c>
      <c r="F65" s="119"/>
      <c r="G65" s="119"/>
      <c r="H65" s="119"/>
      <c r="I65" s="119"/>
      <c r="J65" s="119"/>
      <c r="K65" s="119"/>
      <c r="L65" s="119"/>
      <c r="M65" s="119"/>
      <c r="N65" s="45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4.25" customHeight="1" thickBot="1">
      <c r="A66" s="39"/>
      <c r="B66" s="46"/>
      <c r="C66" s="39"/>
      <c r="D66" s="84"/>
      <c r="E66" s="7" t="s">
        <v>36</v>
      </c>
      <c r="F66" s="126" t="s">
        <v>90</v>
      </c>
      <c r="G66" s="122" t="s">
        <v>90</v>
      </c>
      <c r="H66" s="122">
        <v>0</v>
      </c>
      <c r="I66" s="126" t="s">
        <v>90</v>
      </c>
      <c r="J66" s="122"/>
      <c r="K66" s="126" t="s">
        <v>90</v>
      </c>
      <c r="L66" s="122">
        <v>0</v>
      </c>
      <c r="M66" s="126" t="s">
        <v>90</v>
      </c>
      <c r="N66" s="45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3:29" ht="10.5" customHeight="1" thickTop="1">
      <c r="M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3:29" ht="30" customHeight="1">
      <c r="M68" s="17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35.25" customHeight="1">
      <c r="A69" s="39"/>
      <c r="B69" s="86" t="s">
        <v>46</v>
      </c>
      <c r="C69" s="87"/>
      <c r="D69" s="87"/>
      <c r="E69" s="88"/>
      <c r="F69" s="89"/>
      <c r="G69" s="89"/>
      <c r="H69" s="51"/>
      <c r="I69" s="51"/>
      <c r="J69" s="51"/>
      <c r="K69" s="51"/>
      <c r="L69" s="51"/>
      <c r="M69" s="7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41" s="20" customFormat="1" ht="36" customHeight="1">
      <c r="A70" s="45"/>
      <c r="B70" s="90"/>
      <c r="C70" s="91"/>
      <c r="D70" s="91"/>
      <c r="E70" s="45"/>
      <c r="F70" s="62"/>
      <c r="G70" s="62"/>
      <c r="H70" s="62"/>
      <c r="I70" s="92" t="s">
        <v>67</v>
      </c>
      <c r="J70" s="62"/>
      <c r="K70" s="62"/>
      <c r="L70" s="62"/>
      <c r="M70" s="92" t="s">
        <v>67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O70" s="2"/>
    </row>
    <row r="71" spans="1:41" s="20" customFormat="1" ht="10.5" customHeight="1">
      <c r="A71" s="45"/>
      <c r="B71" s="90"/>
      <c r="C71" s="91"/>
      <c r="D71" s="91"/>
      <c r="E71" s="45"/>
      <c r="F71" s="62"/>
      <c r="G71" s="62"/>
      <c r="H71" s="62"/>
      <c r="I71" s="92" t="s">
        <v>71</v>
      </c>
      <c r="J71" s="62"/>
      <c r="K71" s="62"/>
      <c r="L71" s="62"/>
      <c r="M71" s="92" t="s">
        <v>68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O71" s="2"/>
    </row>
    <row r="72" spans="1:41" s="20" customFormat="1" ht="10.5" customHeight="1">
      <c r="A72" s="45"/>
      <c r="B72" s="93"/>
      <c r="C72" s="94"/>
      <c r="D72" s="94"/>
      <c r="E72" s="45"/>
      <c r="F72" s="62"/>
      <c r="G72" s="62"/>
      <c r="H72" s="62"/>
      <c r="I72" s="92" t="s">
        <v>72</v>
      </c>
      <c r="J72" s="62"/>
      <c r="K72" s="62"/>
      <c r="L72" s="62"/>
      <c r="M72" s="92" t="s">
        <v>69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O72" s="2"/>
    </row>
    <row r="73" spans="1:41" s="20" customFormat="1" ht="12">
      <c r="A73" s="45"/>
      <c r="B73" s="93"/>
      <c r="C73" s="94"/>
      <c r="D73" s="94"/>
      <c r="E73" s="45"/>
      <c r="F73" s="62"/>
      <c r="G73" s="62"/>
      <c r="H73" s="62"/>
      <c r="I73" s="92" t="s">
        <v>41</v>
      </c>
      <c r="J73" s="62"/>
      <c r="K73" s="62"/>
      <c r="L73" s="62"/>
      <c r="M73" s="92" t="s">
        <v>70</v>
      </c>
      <c r="P73" s="8"/>
      <c r="Q73" s="35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O73" s="2"/>
    </row>
    <row r="74" spans="1:41" s="20" customFormat="1" ht="12">
      <c r="A74" s="45"/>
      <c r="B74" s="95"/>
      <c r="C74" s="94"/>
      <c r="D74" s="94"/>
      <c r="E74" s="45"/>
      <c r="F74" s="62"/>
      <c r="G74" s="62"/>
      <c r="H74" s="62"/>
      <c r="I74" s="96" t="str">
        <f>+F14</f>
        <v>30/09/2001</v>
      </c>
      <c r="J74" s="62"/>
      <c r="K74" s="62"/>
      <c r="L74" s="62"/>
      <c r="M74" s="97" t="s">
        <v>76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O74" s="2"/>
    </row>
    <row r="75" spans="1:41" s="20" customFormat="1" ht="14.25">
      <c r="A75" s="45"/>
      <c r="B75" s="95"/>
      <c r="C75" s="98"/>
      <c r="D75" s="98"/>
      <c r="E75" s="45"/>
      <c r="F75" s="62"/>
      <c r="G75" s="62"/>
      <c r="H75" s="62"/>
      <c r="I75" s="116" t="s">
        <v>5</v>
      </c>
      <c r="J75" s="62"/>
      <c r="K75" s="62"/>
      <c r="L75" s="62"/>
      <c r="M75" s="116" t="s">
        <v>5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O75" s="2"/>
    </row>
    <row r="76" spans="1:29" ht="12">
      <c r="A76" s="39"/>
      <c r="B76" s="99"/>
      <c r="C76" s="100"/>
      <c r="D76" s="100"/>
      <c r="E76" s="7"/>
      <c r="F76" s="51"/>
      <c r="G76" s="51"/>
      <c r="H76" s="51"/>
      <c r="I76" s="100"/>
      <c r="J76" s="51"/>
      <c r="K76" s="51"/>
      <c r="L76" s="51"/>
      <c r="M76" s="100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">
      <c r="A77" s="39"/>
      <c r="B77" s="46">
        <v>1</v>
      </c>
      <c r="C77" s="101" t="s">
        <v>134</v>
      </c>
      <c r="D77" s="102"/>
      <c r="E77" s="7"/>
      <c r="F77" s="51"/>
      <c r="G77" s="51"/>
      <c r="H77" s="51"/>
      <c r="I77" s="103">
        <f>489885943/1000</f>
        <v>489885.943</v>
      </c>
      <c r="J77" s="51"/>
      <c r="K77" s="51"/>
      <c r="L77" s="51"/>
      <c r="M77" s="103">
        <f>(395805000)/1000</f>
        <v>395805</v>
      </c>
      <c r="P77" s="34">
        <f aca="true" t="shared" si="1" ref="P77:P85">+I77-M77</f>
        <v>94080.94300000003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">
      <c r="A78" s="39"/>
      <c r="B78" s="46">
        <v>2</v>
      </c>
      <c r="C78" s="104" t="s">
        <v>47</v>
      </c>
      <c r="D78" s="102"/>
      <c r="E78" s="7"/>
      <c r="F78" s="51"/>
      <c r="G78" s="51"/>
      <c r="H78" s="51"/>
      <c r="I78" s="103">
        <v>0</v>
      </c>
      <c r="J78" s="51"/>
      <c r="K78" s="51"/>
      <c r="L78" s="51"/>
      <c r="M78" s="103">
        <v>59793</v>
      </c>
      <c r="P78" s="34">
        <f t="shared" si="1"/>
        <v>-59793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">
      <c r="A79" s="39"/>
      <c r="B79" s="46">
        <v>3</v>
      </c>
      <c r="C79" s="101" t="s">
        <v>98</v>
      </c>
      <c r="D79" s="102"/>
      <c r="E79" s="7"/>
      <c r="F79" s="51"/>
      <c r="G79" s="51"/>
      <c r="H79" s="51"/>
      <c r="I79" s="103">
        <f>989468/1000</f>
        <v>989.468</v>
      </c>
      <c r="J79" s="51"/>
      <c r="K79" s="51"/>
      <c r="L79" s="51"/>
      <c r="M79" s="103">
        <v>547</v>
      </c>
      <c r="P79" s="34">
        <f t="shared" si="1"/>
        <v>442.46799999999996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">
      <c r="A80" s="39"/>
      <c r="B80" s="46">
        <v>4</v>
      </c>
      <c r="C80" s="101" t="s">
        <v>48</v>
      </c>
      <c r="D80" s="102"/>
      <c r="E80" s="7"/>
      <c r="F80" s="51"/>
      <c r="G80" s="51"/>
      <c r="H80" s="51"/>
      <c r="I80" s="103"/>
      <c r="J80" s="51"/>
      <c r="K80" s="51"/>
      <c r="L80" s="51"/>
      <c r="M80" s="103"/>
      <c r="P80" s="34">
        <f t="shared" si="1"/>
        <v>0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">
      <c r="A81" s="39"/>
      <c r="B81" s="46"/>
      <c r="C81" s="105" t="s">
        <v>49</v>
      </c>
      <c r="D81" s="102"/>
      <c r="E81" s="7"/>
      <c r="F81" s="51"/>
      <c r="G81" s="51"/>
      <c r="H81" s="51"/>
      <c r="I81" s="103">
        <f>4471735/1000</f>
        <v>4471.735</v>
      </c>
      <c r="J81" s="51"/>
      <c r="K81" s="51"/>
      <c r="L81" s="51"/>
      <c r="M81" s="103">
        <f>5901605/1000</f>
        <v>5901.605</v>
      </c>
      <c r="P81" s="34">
        <f t="shared" si="1"/>
        <v>-1429.87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">
      <c r="A82" s="39"/>
      <c r="B82" s="46"/>
      <c r="C82" s="106" t="s">
        <v>50</v>
      </c>
      <c r="D82" s="102"/>
      <c r="E82" s="7"/>
      <c r="F82" s="51"/>
      <c r="G82" s="51"/>
      <c r="H82" s="51"/>
      <c r="I82" s="103">
        <f>3904983/1000</f>
        <v>3904.983</v>
      </c>
      <c r="J82" s="51"/>
      <c r="K82" s="51"/>
      <c r="L82" s="51"/>
      <c r="M82" s="103">
        <v>5116</v>
      </c>
      <c r="P82" s="34">
        <f t="shared" si="1"/>
        <v>-1211.0169999999998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">
      <c r="A83" s="39"/>
      <c r="B83" s="46"/>
      <c r="C83" s="105" t="s">
        <v>91</v>
      </c>
      <c r="D83" s="102"/>
      <c r="E83" s="7"/>
      <c r="F83" s="51"/>
      <c r="G83" s="51"/>
      <c r="H83" s="51"/>
      <c r="I83" s="103">
        <f>1300637/1000</f>
        <v>1300.637</v>
      </c>
      <c r="J83" s="51"/>
      <c r="K83" s="51"/>
      <c r="L83" s="51"/>
      <c r="M83" s="103">
        <f>1374209/1000</f>
        <v>1374.209</v>
      </c>
      <c r="P83" s="34">
        <f t="shared" si="1"/>
        <v>-73.57200000000012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">
      <c r="A84" s="39"/>
      <c r="B84" s="46"/>
      <c r="C84" s="106" t="s">
        <v>51</v>
      </c>
      <c r="D84" s="102"/>
      <c r="E84" s="7"/>
      <c r="F84" s="51"/>
      <c r="G84" s="51"/>
      <c r="H84" s="51"/>
      <c r="I84" s="103">
        <f>63902/1000</f>
        <v>63.902</v>
      </c>
      <c r="J84" s="51"/>
      <c r="K84" s="51"/>
      <c r="L84" s="51"/>
      <c r="M84" s="103">
        <f>392967/1000</f>
        <v>392.967</v>
      </c>
      <c r="P84" s="34">
        <f t="shared" si="1"/>
        <v>-329.065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">
      <c r="A85" s="39"/>
      <c r="B85" s="46"/>
      <c r="C85" s="106" t="s">
        <v>94</v>
      </c>
      <c r="D85" s="102"/>
      <c r="E85" s="7"/>
      <c r="F85" s="51"/>
      <c r="G85" s="51"/>
      <c r="H85" s="51"/>
      <c r="I85" s="103">
        <f>5488579/1000</f>
        <v>5488.579</v>
      </c>
      <c r="J85" s="51"/>
      <c r="K85" s="51"/>
      <c r="L85" s="51"/>
      <c r="M85" s="103">
        <v>9564</v>
      </c>
      <c r="P85" s="34">
        <f t="shared" si="1"/>
        <v>-4075.4210000000003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">
      <c r="A86" s="39"/>
      <c r="B86" s="46"/>
      <c r="C86" s="106" t="s">
        <v>11</v>
      </c>
      <c r="D86" s="102"/>
      <c r="E86" s="7"/>
      <c r="F86" s="51"/>
      <c r="G86" s="51"/>
      <c r="H86" s="51"/>
      <c r="I86" s="103">
        <v>0</v>
      </c>
      <c r="J86" s="51"/>
      <c r="K86" s="51"/>
      <c r="L86" s="51"/>
      <c r="M86" s="103">
        <v>1719</v>
      </c>
      <c r="P86" s="3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">
      <c r="A87" s="39"/>
      <c r="B87" s="46"/>
      <c r="C87" s="106" t="s">
        <v>65</v>
      </c>
      <c r="D87" s="102"/>
      <c r="E87" s="7"/>
      <c r="F87" s="51"/>
      <c r="G87" s="51"/>
      <c r="H87" s="51"/>
      <c r="I87" s="103">
        <v>72897</v>
      </c>
      <c r="J87" s="51"/>
      <c r="K87" s="51"/>
      <c r="L87" s="51"/>
      <c r="M87" s="103">
        <v>12942</v>
      </c>
      <c r="P87" s="34">
        <f aca="true" t="shared" si="2" ref="P87:P93">+I86-M86</f>
        <v>-1719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">
      <c r="A88" s="39"/>
      <c r="B88" s="46"/>
      <c r="C88" s="101"/>
      <c r="D88" s="102"/>
      <c r="E88" s="7"/>
      <c r="F88" s="51"/>
      <c r="G88" s="51"/>
      <c r="H88" s="51"/>
      <c r="I88" s="107">
        <f>SUM(I81:I87)</f>
        <v>88126.836</v>
      </c>
      <c r="J88" s="51"/>
      <c r="K88" s="51"/>
      <c r="L88" s="51"/>
      <c r="M88" s="107">
        <f>SUM(M81:M87)</f>
        <v>37009.781</v>
      </c>
      <c r="P88" s="34">
        <f t="shared" si="2"/>
        <v>59955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">
      <c r="A89" s="39"/>
      <c r="B89" s="46">
        <v>5</v>
      </c>
      <c r="C89" s="101" t="s">
        <v>52</v>
      </c>
      <c r="D89" s="102"/>
      <c r="E89" s="7"/>
      <c r="F89" s="51"/>
      <c r="G89" s="51"/>
      <c r="H89" s="51"/>
      <c r="I89" s="103"/>
      <c r="J89" s="51"/>
      <c r="K89" s="51"/>
      <c r="L89" s="51"/>
      <c r="M89" s="103"/>
      <c r="P89" s="34">
        <f t="shared" si="2"/>
        <v>51117.05499999999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">
      <c r="A90" s="39"/>
      <c r="B90" s="46"/>
      <c r="C90" s="106" t="s">
        <v>53</v>
      </c>
      <c r="D90" s="102"/>
      <c r="E90" s="7"/>
      <c r="F90" s="51"/>
      <c r="G90" s="51"/>
      <c r="H90" s="51"/>
      <c r="I90" s="103">
        <v>5072</v>
      </c>
      <c r="J90" s="51"/>
      <c r="K90" s="51"/>
      <c r="L90" s="51"/>
      <c r="M90" s="103">
        <v>3564</v>
      </c>
      <c r="P90" s="34">
        <f t="shared" si="2"/>
        <v>0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">
      <c r="A91" s="39"/>
      <c r="B91" s="46"/>
      <c r="C91" s="106" t="s">
        <v>92</v>
      </c>
      <c r="D91" s="102"/>
      <c r="E91" s="7"/>
      <c r="F91" s="51"/>
      <c r="G91" s="51"/>
      <c r="H91" s="51"/>
      <c r="I91" s="103">
        <v>48613</v>
      </c>
      <c r="J91" s="51"/>
      <c r="K91" s="51"/>
      <c r="L91" s="51"/>
      <c r="M91" s="103">
        <v>20431</v>
      </c>
      <c r="P91" s="34">
        <f t="shared" si="2"/>
        <v>1508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">
      <c r="A92" s="39"/>
      <c r="B92" s="46"/>
      <c r="C92" s="106" t="s">
        <v>95</v>
      </c>
      <c r="D92" s="102"/>
      <c r="E92" s="7"/>
      <c r="F92" s="51"/>
      <c r="G92" s="51"/>
      <c r="H92" s="51"/>
      <c r="I92" s="103">
        <v>1537</v>
      </c>
      <c r="J92" s="51"/>
      <c r="K92" s="51"/>
      <c r="L92" s="51"/>
      <c r="M92" s="85">
        <v>0</v>
      </c>
      <c r="P92" s="34">
        <f t="shared" si="2"/>
        <v>28182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" hidden="1">
      <c r="A93" s="39"/>
      <c r="B93" s="46"/>
      <c r="C93" s="106" t="s">
        <v>101</v>
      </c>
      <c r="D93" s="102"/>
      <c r="E93" s="7"/>
      <c r="F93" s="51"/>
      <c r="G93" s="51"/>
      <c r="H93" s="51"/>
      <c r="I93" s="103">
        <f>4460487/1000</f>
        <v>4460.487</v>
      </c>
      <c r="J93" s="51"/>
      <c r="K93" s="51"/>
      <c r="L93" s="51"/>
      <c r="M93" s="103"/>
      <c r="P93" s="34">
        <f t="shared" si="2"/>
        <v>1537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">
      <c r="A94" s="39"/>
      <c r="B94" s="46"/>
      <c r="C94" s="105" t="s">
        <v>127</v>
      </c>
      <c r="D94" s="102"/>
      <c r="E94" s="7"/>
      <c r="F94" s="103"/>
      <c r="G94" s="103"/>
      <c r="H94" s="51"/>
      <c r="I94" s="103">
        <v>36997</v>
      </c>
      <c r="J94" s="51"/>
      <c r="K94" s="51"/>
      <c r="L94" s="51"/>
      <c r="M94" s="103">
        <v>27881</v>
      </c>
      <c r="P94" s="3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">
      <c r="A95" s="39"/>
      <c r="B95" s="46"/>
      <c r="C95" s="106" t="s">
        <v>93</v>
      </c>
      <c r="D95" s="100"/>
      <c r="E95" s="7"/>
      <c r="F95" s="51"/>
      <c r="G95" s="51"/>
      <c r="H95" s="51"/>
      <c r="I95" s="103">
        <v>1315</v>
      </c>
      <c r="J95" s="51"/>
      <c r="K95" s="51"/>
      <c r="L95" s="51"/>
      <c r="M95" s="103">
        <v>1452</v>
      </c>
      <c r="P95" s="3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">
      <c r="A96" s="39"/>
      <c r="B96" s="46"/>
      <c r="C96" s="106" t="s">
        <v>128</v>
      </c>
      <c r="D96" s="102"/>
      <c r="E96" s="7"/>
      <c r="F96" s="51"/>
      <c r="G96" s="51"/>
      <c r="H96" s="51"/>
      <c r="I96" s="103">
        <v>31</v>
      </c>
      <c r="J96" s="51"/>
      <c r="K96" s="51"/>
      <c r="L96" s="51"/>
      <c r="M96" s="103">
        <v>0</v>
      </c>
      <c r="P96" s="34">
        <f>+I94-M94</f>
        <v>9116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">
      <c r="A97" s="39"/>
      <c r="B97" s="46"/>
      <c r="C97" s="46"/>
      <c r="D97" s="39"/>
      <c r="E97" s="7"/>
      <c r="F97" s="51"/>
      <c r="G97" s="51"/>
      <c r="H97" s="51"/>
      <c r="I97" s="108">
        <f>+I90+I91+I92+I94+I95+I96</f>
        <v>93565</v>
      </c>
      <c r="J97" s="51"/>
      <c r="K97" s="51"/>
      <c r="L97" s="51"/>
      <c r="M97" s="108">
        <f>SUM(M90:M96)</f>
        <v>53328</v>
      </c>
      <c r="P97" s="3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" hidden="1">
      <c r="A98" s="39"/>
      <c r="B98" s="46"/>
      <c r="C98" s="106" t="s">
        <v>54</v>
      </c>
      <c r="D98" s="100"/>
      <c r="E98" s="7"/>
      <c r="F98" s="51"/>
      <c r="G98" s="51"/>
      <c r="H98" s="51"/>
      <c r="I98" s="109">
        <v>0</v>
      </c>
      <c r="J98" s="51"/>
      <c r="K98" s="51"/>
      <c r="L98" s="51"/>
      <c r="M98" s="109">
        <v>0</v>
      </c>
      <c r="O98" s="21"/>
      <c r="P98" s="34" t="e">
        <f>+#REF!-M96</f>
        <v>#REF!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" hidden="1">
      <c r="A99" s="39"/>
      <c r="B99" s="46"/>
      <c r="C99" s="99"/>
      <c r="D99" s="7"/>
      <c r="E99" s="110"/>
      <c r="F99" s="10"/>
      <c r="G99" s="10"/>
      <c r="H99" s="10"/>
      <c r="I99" s="107">
        <f>SUM(I90:I98)</f>
        <v>191590.487</v>
      </c>
      <c r="J99" s="10"/>
      <c r="K99" s="10"/>
      <c r="L99" s="10"/>
      <c r="M99" s="107">
        <f>SUM(M90:M98)</f>
        <v>106656</v>
      </c>
      <c r="P99" s="34">
        <f>+I98-M98</f>
        <v>0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">
      <c r="A100" s="39"/>
      <c r="B100" s="46">
        <v>6</v>
      </c>
      <c r="C100" s="101" t="s">
        <v>97</v>
      </c>
      <c r="D100" s="102"/>
      <c r="E100" s="7"/>
      <c r="F100" s="51"/>
      <c r="G100" s="51"/>
      <c r="H100" s="51"/>
      <c r="I100" s="111">
        <f>+I88-I97</f>
        <v>-5438.164000000004</v>
      </c>
      <c r="J100" s="51"/>
      <c r="K100" s="51"/>
      <c r="L100" s="51"/>
      <c r="M100" s="111">
        <f>+M88-M97</f>
        <v>-16318.218999999997</v>
      </c>
      <c r="P100" s="34">
        <f>+I99-M99</f>
        <v>84934.487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 thickBot="1">
      <c r="A101" s="39"/>
      <c r="B101" s="46"/>
      <c r="C101" s="101"/>
      <c r="D101" s="102"/>
      <c r="E101" s="7"/>
      <c r="F101" s="51"/>
      <c r="G101" s="51"/>
      <c r="H101" s="51"/>
      <c r="I101" s="112">
        <f>SUM(I77:I79)+I100</f>
        <v>485437.24700000003</v>
      </c>
      <c r="J101" s="51" t="s">
        <v>89</v>
      </c>
      <c r="K101" s="51"/>
      <c r="L101" s="51"/>
      <c r="M101" s="112">
        <f>SUM(M77:M79)+M100</f>
        <v>439826.781</v>
      </c>
      <c r="P101" s="34">
        <f>+I100-M100</f>
        <v>10880.054999999993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" customHeight="1" thickTop="1">
      <c r="A102" s="39"/>
      <c r="B102" s="46"/>
      <c r="C102" s="101"/>
      <c r="D102" s="101"/>
      <c r="E102" s="7"/>
      <c r="F102" s="51"/>
      <c r="G102" s="51"/>
      <c r="H102" s="51"/>
      <c r="I102" s="103"/>
      <c r="J102" s="51"/>
      <c r="K102" s="51"/>
      <c r="L102" s="51"/>
      <c r="M102" s="103"/>
      <c r="P102" s="34">
        <f>+I101-M101</f>
        <v>45610.466000000015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" customHeight="1">
      <c r="A103" s="39"/>
      <c r="B103" s="46">
        <v>7</v>
      </c>
      <c r="C103" s="101" t="s">
        <v>63</v>
      </c>
      <c r="D103" s="101"/>
      <c r="E103" s="7"/>
      <c r="F103" s="51"/>
      <c r="G103" s="51"/>
      <c r="H103" s="51"/>
      <c r="I103" s="103"/>
      <c r="J103" s="51"/>
      <c r="K103" s="51"/>
      <c r="L103" s="51"/>
      <c r="M103" s="103"/>
      <c r="P103" s="3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">
      <c r="A104" s="39"/>
      <c r="B104" s="39"/>
      <c r="C104" s="101" t="s">
        <v>55</v>
      </c>
      <c r="D104" s="101"/>
      <c r="E104" s="7"/>
      <c r="F104" s="51"/>
      <c r="G104" s="51"/>
      <c r="H104" s="51"/>
      <c r="I104" s="103">
        <v>160000</v>
      </c>
      <c r="J104" s="51"/>
      <c r="K104" s="51"/>
      <c r="L104" s="51"/>
      <c r="M104" s="103">
        <v>160000</v>
      </c>
      <c r="P104" s="34">
        <f>+I102-M102</f>
        <v>0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">
      <c r="A105" s="39"/>
      <c r="B105" s="46"/>
      <c r="C105" s="101" t="s">
        <v>62</v>
      </c>
      <c r="D105" s="101"/>
      <c r="E105" s="7"/>
      <c r="F105" s="51"/>
      <c r="G105" s="51"/>
      <c r="H105" s="51"/>
      <c r="I105" s="103"/>
      <c r="J105" s="51"/>
      <c r="K105" s="51"/>
      <c r="L105" s="51"/>
      <c r="M105" s="103"/>
      <c r="P105" s="34">
        <f aca="true" t="shared" si="3" ref="P105:P110">+I104-M104</f>
        <v>0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">
      <c r="A106" s="39"/>
      <c r="B106" s="46"/>
      <c r="C106" s="39"/>
      <c r="D106" s="106" t="s">
        <v>56</v>
      </c>
      <c r="E106" s="7"/>
      <c r="F106" s="51"/>
      <c r="G106" s="51"/>
      <c r="H106" s="51"/>
      <c r="I106" s="103">
        <f>(217819168/1000)+1</f>
        <v>217820.168</v>
      </c>
      <c r="J106" s="51"/>
      <c r="K106" s="51"/>
      <c r="L106" s="51"/>
      <c r="M106" s="103">
        <v>186510</v>
      </c>
      <c r="P106" s="34">
        <f t="shared" si="3"/>
        <v>0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">
      <c r="A107" s="39"/>
      <c r="B107" s="46"/>
      <c r="C107" s="39"/>
      <c r="D107" s="106" t="s">
        <v>66</v>
      </c>
      <c r="E107" s="7"/>
      <c r="F107" s="51"/>
      <c r="G107" s="51"/>
      <c r="H107" s="51"/>
      <c r="I107" s="103">
        <f>+(7901819/1000)</f>
        <v>7901.819</v>
      </c>
      <c r="J107" s="51"/>
      <c r="K107" s="51"/>
      <c r="L107" s="51"/>
      <c r="M107" s="103">
        <v>7902</v>
      </c>
      <c r="P107" s="34">
        <f t="shared" si="3"/>
        <v>31310.168000000005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">
      <c r="A108" s="39"/>
      <c r="B108" s="46"/>
      <c r="C108" s="39"/>
      <c r="D108" s="106" t="s">
        <v>57</v>
      </c>
      <c r="E108" s="7"/>
      <c r="F108" s="51"/>
      <c r="G108" s="51"/>
      <c r="H108" s="51"/>
      <c r="I108" s="103">
        <f>21151941/1000</f>
        <v>21151.941</v>
      </c>
      <c r="J108" s="51"/>
      <c r="K108" s="51"/>
      <c r="L108" s="51"/>
      <c r="M108" s="103">
        <f>21151941/1000</f>
        <v>21151.941</v>
      </c>
      <c r="P108" s="34">
        <f t="shared" si="3"/>
        <v>-0.18099999999958527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">
      <c r="A109" s="39"/>
      <c r="B109" s="46"/>
      <c r="C109" s="39"/>
      <c r="D109" s="106" t="s">
        <v>58</v>
      </c>
      <c r="E109" s="7"/>
      <c r="F109" s="51"/>
      <c r="G109" s="51"/>
      <c r="H109" s="51"/>
      <c r="I109" s="103">
        <f>288033/1000</f>
        <v>288.033</v>
      </c>
      <c r="J109" s="51"/>
      <c r="K109" s="51"/>
      <c r="L109" s="51"/>
      <c r="M109" s="103">
        <f>288033/1000</f>
        <v>288.033</v>
      </c>
      <c r="P109" s="34">
        <f t="shared" si="3"/>
        <v>0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">
      <c r="A110" s="39"/>
      <c r="B110" s="46"/>
      <c r="C110" s="101"/>
      <c r="D110" s="39"/>
      <c r="E110" s="7"/>
      <c r="F110" s="51"/>
      <c r="G110" s="51"/>
      <c r="H110" s="51"/>
      <c r="I110" s="107">
        <f>SUM(I104:I109)</f>
        <v>407161.961</v>
      </c>
      <c r="J110" s="51"/>
      <c r="K110" s="51"/>
      <c r="L110" s="51"/>
      <c r="M110" s="107">
        <f>SUM(M104:M109)</f>
        <v>375851.974</v>
      </c>
      <c r="P110" s="34">
        <f t="shared" si="3"/>
        <v>0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">
      <c r="A111" s="39"/>
      <c r="B111" s="39"/>
      <c r="C111" s="39"/>
      <c r="D111" s="39"/>
      <c r="E111" s="39"/>
      <c r="F111" s="39"/>
      <c r="G111" s="39"/>
      <c r="H111" s="39"/>
      <c r="I111" s="39" t="s">
        <v>61</v>
      </c>
      <c r="J111" s="39"/>
      <c r="K111" s="39"/>
      <c r="L111" s="39"/>
      <c r="M111" s="39" t="s">
        <v>61</v>
      </c>
      <c r="P111" s="3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">
      <c r="A112" s="7"/>
      <c r="B112" s="46">
        <v>8</v>
      </c>
      <c r="C112" s="101" t="s">
        <v>64</v>
      </c>
      <c r="D112" s="101"/>
      <c r="E112" s="7"/>
      <c r="F112" s="51"/>
      <c r="G112" s="51"/>
      <c r="H112" s="51"/>
      <c r="I112" s="103">
        <f>20938554/1000</f>
        <v>20938.554</v>
      </c>
      <c r="J112" s="51"/>
      <c r="K112" s="51"/>
      <c r="L112" s="51"/>
      <c r="M112" s="103">
        <v>0</v>
      </c>
      <c r="P112" s="3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41" s="9" customFormat="1" ht="12" customHeight="1">
      <c r="A113" s="39"/>
      <c r="B113" s="46">
        <v>9</v>
      </c>
      <c r="C113" s="101" t="s">
        <v>59</v>
      </c>
      <c r="D113" s="101"/>
      <c r="E113" s="7"/>
      <c r="F113" s="51"/>
      <c r="G113" s="51"/>
      <c r="H113" s="51"/>
      <c r="I113" s="103">
        <f>55440164/1000</f>
        <v>55440.164</v>
      </c>
      <c r="J113" s="51"/>
      <c r="K113" s="51"/>
      <c r="L113" s="51"/>
      <c r="M113" s="103">
        <v>62190</v>
      </c>
      <c r="O113" s="21"/>
      <c r="P113" s="34">
        <f>+I112-M112</f>
        <v>20938.554</v>
      </c>
      <c r="Q113" s="34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O113" s="2"/>
    </row>
    <row r="114" spans="1:29" ht="12">
      <c r="A114" s="39"/>
      <c r="B114" s="46">
        <v>10</v>
      </c>
      <c r="C114" s="101" t="s">
        <v>60</v>
      </c>
      <c r="D114" s="101"/>
      <c r="E114" s="7"/>
      <c r="F114" s="51"/>
      <c r="G114" s="51"/>
      <c r="H114" s="51"/>
      <c r="I114" s="103">
        <f>1785000/1000</f>
        <v>1785</v>
      </c>
      <c r="J114" s="51"/>
      <c r="K114" s="51"/>
      <c r="L114" s="51"/>
      <c r="M114" s="103">
        <f>1785000/1000</f>
        <v>1785</v>
      </c>
      <c r="O114" s="9"/>
      <c r="P114" s="34">
        <f>+I113-M113</f>
        <v>-6749.836000000003</v>
      </c>
      <c r="Q114" s="34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">
      <c r="A115" s="39"/>
      <c r="B115" s="46">
        <v>11</v>
      </c>
      <c r="C115" s="101" t="s">
        <v>129</v>
      </c>
      <c r="D115" s="101"/>
      <c r="E115" s="7"/>
      <c r="F115" s="51"/>
      <c r="G115" s="51"/>
      <c r="H115" s="51"/>
      <c r="I115" s="103">
        <f>111140/1000</f>
        <v>111.14</v>
      </c>
      <c r="J115" s="51"/>
      <c r="K115" s="51"/>
      <c r="L115" s="51"/>
      <c r="M115" s="103">
        <v>0</v>
      </c>
      <c r="P115" s="34">
        <f>+I114-M114</f>
        <v>0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75" thickBot="1">
      <c r="A116" s="39"/>
      <c r="B116" s="46"/>
      <c r="C116" s="99"/>
      <c r="D116" s="100"/>
      <c r="E116" s="7"/>
      <c r="F116" s="51"/>
      <c r="G116" s="51"/>
      <c r="H116" s="51"/>
      <c r="I116" s="113">
        <f>SUM(I110:I115)</f>
        <v>485436.819</v>
      </c>
      <c r="J116" s="51"/>
      <c r="K116" s="51"/>
      <c r="L116" s="51"/>
      <c r="M116" s="113">
        <f>+M110+M113+M114</f>
        <v>439826.974</v>
      </c>
      <c r="P116" s="34">
        <f>+I115-M115</f>
        <v>111.14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75" thickTop="1">
      <c r="A117" s="39"/>
      <c r="B117" s="46"/>
      <c r="C117" s="99"/>
      <c r="D117" s="100"/>
      <c r="E117" s="7"/>
      <c r="F117" s="51"/>
      <c r="G117" s="51"/>
      <c r="H117" s="51"/>
      <c r="I117" s="114"/>
      <c r="J117" s="51"/>
      <c r="K117" s="51"/>
      <c r="L117" s="51"/>
      <c r="M117" s="114"/>
      <c r="P117" s="34">
        <f>+I116-M116</f>
        <v>45609.84500000003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">
      <c r="A118" s="39"/>
      <c r="B118" s="46">
        <v>12</v>
      </c>
      <c r="C118" s="101" t="s">
        <v>73</v>
      </c>
      <c r="D118" s="100"/>
      <c r="E118" s="7"/>
      <c r="F118" s="51"/>
      <c r="G118" s="51"/>
      <c r="H118" s="51"/>
      <c r="I118" s="115">
        <f>+I110/I104</f>
        <v>2.54476225625</v>
      </c>
      <c r="J118" s="51"/>
      <c r="K118" s="51"/>
      <c r="L118" s="51"/>
      <c r="M118" s="115">
        <f>+M110/M104</f>
        <v>2.3490748375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6:29" ht="11.25"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3:29" ht="11.25">
      <c r="C120" s="37"/>
      <c r="E120" s="2"/>
      <c r="F120" s="2"/>
      <c r="G120" s="2"/>
      <c r="H120" s="2"/>
      <c r="I120" s="38"/>
      <c r="J120" s="2"/>
      <c r="K120" s="2"/>
      <c r="L120" s="2"/>
      <c r="M120" s="38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2:29" ht="10.5" customHeight="1">
      <c r="B121" s="5"/>
      <c r="C121" s="2"/>
      <c r="D121" s="39"/>
      <c r="E121" s="39"/>
      <c r="F121" s="39"/>
      <c r="G121" s="39"/>
      <c r="H121" s="39"/>
      <c r="I121" s="40"/>
      <c r="J121" s="39"/>
      <c r="K121" s="39"/>
      <c r="L121" s="39"/>
      <c r="M121" s="39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2:29" ht="10.5" customHeight="1">
      <c r="B122" s="5"/>
      <c r="C122" s="2"/>
      <c r="D122" s="39"/>
      <c r="E122" s="39"/>
      <c r="F122" s="39"/>
      <c r="G122" s="39"/>
      <c r="H122" s="39"/>
      <c r="I122" s="40"/>
      <c r="J122" s="39"/>
      <c r="K122" s="39"/>
      <c r="L122" s="39"/>
      <c r="M122" s="39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2:29" ht="10.5" customHeight="1">
      <c r="B123" s="2"/>
      <c r="C123" s="2"/>
      <c r="D123" s="19"/>
      <c r="E123" s="19"/>
      <c r="F123" s="39"/>
      <c r="G123" s="41"/>
      <c r="H123" s="41"/>
      <c r="I123" s="41"/>
      <c r="J123" s="41"/>
      <c r="K123" s="41"/>
      <c r="L123" s="41"/>
      <c r="M123" s="4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2:29" ht="9" customHeight="1">
      <c r="B124" s="7"/>
      <c r="C124" s="9"/>
      <c r="D124" s="19"/>
      <c r="E124" s="19"/>
      <c r="F124" s="42"/>
      <c r="G124" s="41"/>
      <c r="H124" s="41"/>
      <c r="I124" s="43"/>
      <c r="J124" s="41"/>
      <c r="K124" s="41"/>
      <c r="L124" s="41"/>
      <c r="M124" s="4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2:13" ht="10.5" customHeight="1">
      <c r="B125" s="22"/>
      <c r="C125" s="2"/>
      <c r="E125" s="36"/>
      <c r="F125" s="2"/>
      <c r="G125" s="2"/>
      <c r="H125" s="44"/>
      <c r="I125" s="16"/>
      <c r="J125" s="6"/>
      <c r="K125" s="6"/>
      <c r="L125" s="2"/>
      <c r="M125" s="2" t="s">
        <v>61</v>
      </c>
    </row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</sheetData>
  <mergeCells count="6">
    <mergeCell ref="D54:E54"/>
    <mergeCell ref="AA5:AC5"/>
    <mergeCell ref="L2:N2"/>
    <mergeCell ref="B1:N1"/>
    <mergeCell ref="B2:K2"/>
    <mergeCell ref="D20:E20"/>
  </mergeCells>
  <printOptions/>
  <pageMargins left="0.75" right="0.75" top="1" bottom="1" header="0.5" footer="0.5"/>
  <pageSetup fitToHeight="1" fitToWidth="1" horizontalDpi="600" verticalDpi="600" orientation="portrait" paperSize="9" scale="93" r:id="rId1"/>
  <headerFooter alignWithMargins="0">
    <oddFooter>&amp;L&amp;F ^ &amp;A * 08.11.2001 @ 9.09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Yasimah</cp:lastModifiedBy>
  <cp:lastPrinted>2001-11-27T01:05:49Z</cp:lastPrinted>
  <dcterms:created xsi:type="dcterms:W3CDTF">1999-08-02T06:32:51Z</dcterms:created>
  <dcterms:modified xsi:type="dcterms:W3CDTF">2001-11-01T08:49:24Z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